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5430" windowHeight="4920" tabRatio="601" activeTab="2"/>
  </bookViews>
  <sheets>
    <sheet name="Summary" sheetId="1" r:id="rId1"/>
    <sheet name="ROI" sheetId="2" r:id="rId2"/>
    <sheet name="Cashflow" sheetId="3" r:id="rId3"/>
    <sheet name="Costs" sheetId="4" r:id="rId4"/>
    <sheet name="Sheet1" sheetId="5" r:id="rId5"/>
    <sheet name="Assumpt" sheetId="6" r:id="rId6"/>
  </sheets>
  <externalReferences>
    <externalReference r:id="rId9"/>
  </externalReferences>
  <definedNames>
    <definedName name="__123Graph_AChart4A" localSheetId="2" hidden="1">'Cashflow'!$E$23:$S$23</definedName>
    <definedName name="__123Graph_BChart4A" localSheetId="2" hidden="1">'Cashflow'!$E$32:$S$32</definedName>
    <definedName name="__123Graph_CChart4A" localSheetId="2" hidden="1">'Cashflow'!$E$35:$S$35</definedName>
    <definedName name="__123Graph_XChart4A" localSheetId="2" hidden="1">'Cashflow'!$E$3:$S$3</definedName>
    <definedName name="CHART">'Cashflow'!$V$1:$AH$39</definedName>
    <definedName name="DATABASE">'Cashflow'!$E$12:$S$48</definedName>
    <definedName name="FARE_CHART">'Cashflow'!$V$38:$AF$69</definedName>
    <definedName name="RTFARE_GRAPH">'Cashflow'!$V$81:$AF$108</definedName>
    <definedName name="TABLE">'Cashflow'!$A$1:$S$36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B27" authorId="0">
      <text>
        <r>
          <rPr>
            <sz val="8"/>
            <rFont val="Tahoma"/>
            <family val="0"/>
          </rPr>
          <t xml:space="preserve">based on new 
tax law 29% + 4.6% state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C4" authorId="0">
      <text>
        <r>
          <rPr>
            <sz val="8"/>
            <rFont val="Tahoma"/>
            <family val="0"/>
          </rPr>
          <t xml:space="preserve">30kw@$.05/kwh/75mph=      $.023 per vehicle/mile divided by 12 passengers is  $.0019/passenger/mile plus 15% added for accelleration=.0022/passenger/mile  ---each passenger  travels half the total route                  </t>
        </r>
      </text>
    </comment>
    <comment ref="E5" authorId="0">
      <text>
        <r>
          <rPr>
            <sz val="8"/>
            <rFont val="Tahoma"/>
            <family val="0"/>
          </rPr>
          <t>3 people x 3 shifts per day x5 day/week plus weekend/holidays shift which equals 5x3fte=15 or 365x24=8660/1800=4.86</t>
        </r>
      </text>
    </comment>
    <comment ref="B7" authorId="0">
      <text>
        <r>
          <rPr>
            <sz val="8"/>
            <rFont val="Tahoma"/>
            <family val="0"/>
          </rPr>
          <t xml:space="preserve">fare collection, accounting, payroll, purchasing, advertising, govt./public relations, management, </t>
        </r>
      </text>
    </comment>
    <comment ref="E7" authorId="0">
      <text>
        <r>
          <rPr>
            <sz val="8"/>
            <rFont val="Tahoma"/>
            <family val="0"/>
          </rPr>
          <t>Manager- $70,000</t>
        </r>
      </text>
    </comment>
    <comment ref="C9" authorId="0">
      <text>
        <r>
          <rPr>
            <sz val="8"/>
            <rFont val="Tahoma"/>
            <family val="0"/>
          </rPr>
          <t>Assume 50% borrowed on $4mil/mile repaid over 5 years is a debt service of $5.1mil per year</t>
        </r>
      </text>
    </comment>
    <comment ref="B10" authorId="0">
      <text>
        <r>
          <rPr>
            <sz val="8"/>
            <rFont val="Tahoma"/>
            <family val="0"/>
          </rPr>
          <t xml:space="preserve">taxes, legal, financial services, utilities for other than power. </t>
        </r>
      </text>
    </comment>
    <comment ref="E10" authorId="0">
      <text>
        <r>
          <rPr>
            <sz val="8"/>
            <rFont val="Tahoma"/>
            <family val="0"/>
          </rPr>
          <t>taxes on vehicles, guideway maintenance equip, computers, etc at 1% of acq. value per year</t>
        </r>
      </text>
    </comment>
    <comment ref="E15" authorId="0">
      <text>
        <r>
          <rPr>
            <sz val="8"/>
            <rFont val="Tahoma"/>
            <family val="0"/>
          </rPr>
          <t>Shifts of 5-day, 3-night,3 graveyard=11 or 1 fte for every 20 vehicles</t>
        </r>
      </text>
    </comment>
    <comment ref="E16" authorId="0">
      <text>
        <r>
          <rPr>
            <sz val="8"/>
            <rFont val="Tahoma"/>
            <family val="0"/>
          </rPr>
          <t>2 inspectors, 2 maintenance plus on call night shift of 2=6fte or 1 fte for every 10 miles of track</t>
        </r>
      </text>
    </comment>
    <comment ref="E17" authorId="0">
      <text>
        <r>
          <rPr>
            <sz val="8"/>
            <rFont val="Tahoma"/>
            <family val="0"/>
          </rPr>
          <t>3 day shift plus 3 night and weekend-6fte or 1 fte per 10 miles of guideway</t>
        </r>
      </text>
    </comment>
    <comment ref="E18" authorId="0">
      <text>
        <r>
          <rPr>
            <sz val="8"/>
            <rFont val="Tahoma"/>
            <family val="0"/>
          </rPr>
          <t xml:space="preserve">Critical-3fte rotating Shifts =4 fte--Maintain ticket equip, radio, computers, detectors, </t>
        </r>
      </text>
    </comment>
    <comment ref="E19" authorId="0">
      <text>
        <r>
          <rPr>
            <sz val="8"/>
            <rFont val="Tahoma"/>
            <family val="0"/>
          </rPr>
          <t>total of 4 roving maintenance and custodial -one man can do one station in three hours, each station gets cleaned 2 time a week. Or 1 fte for each 6 stations</t>
        </r>
      </text>
    </comment>
    <comment ref="C20" authorId="0">
      <text>
        <r>
          <rPr>
            <sz val="8"/>
            <rFont val="Tahoma"/>
            <family val="0"/>
          </rPr>
          <t>Material costs are equal to maintence labor costs</t>
        </r>
      </text>
    </comment>
    <comment ref="H26" authorId="0">
      <text>
        <r>
          <rPr>
            <sz val="8"/>
            <rFont val="Tahoma"/>
            <family val="0"/>
          </rPr>
          <t>$120,000,000 for 30 miles divided into operating/maint.  cost</t>
        </r>
      </text>
    </comment>
    <comment ref="H27" authorId="0">
      <text>
        <r>
          <rPr>
            <sz val="8"/>
            <rFont val="Tahoma"/>
            <family val="0"/>
          </rPr>
          <t xml:space="preserve">Total cost for year divided by Total passingers per year </t>
        </r>
      </text>
    </comment>
    <comment ref="H28" authorId="0">
      <text>
        <r>
          <rPr>
            <sz val="8"/>
            <rFont val="Tahoma"/>
            <family val="0"/>
          </rPr>
          <t xml:space="preserve">CRF=.10 per YEAR x total cost divided by the total passenger miles traveled per year. (Assume 20 miles per trip) </t>
        </r>
      </text>
    </comment>
  </commentList>
</comments>
</file>

<file path=xl/sharedStrings.xml><?xml version="1.0" encoding="utf-8"?>
<sst xmlns="http://schemas.openxmlformats.org/spreadsheetml/2006/main" count="319" uniqueCount="221">
  <si>
    <t>Total Costs and Expenses</t>
  </si>
  <si>
    <t xml:space="preserve"> </t>
  </si>
  <si>
    <t>Assumptions</t>
  </si>
  <si>
    <t>Values</t>
  </si>
  <si>
    <t>Route Distance in miles-ONE WAY</t>
  </si>
  <si>
    <t>Number ofriders per day (RT) x 5% p/y growth</t>
  </si>
  <si>
    <t>Local Fare in c/per mile</t>
  </si>
  <si>
    <t>Total Capital Cost ($MILLIONS)</t>
  </si>
  <si>
    <t>Income tax rate</t>
  </si>
  <si>
    <t>AverageTourist Fare  per day</t>
  </si>
  <si>
    <t>Local User rate</t>
  </si>
  <si>
    <t>Internal Rate of Return</t>
  </si>
  <si>
    <t>How calculated</t>
  </si>
  <si>
    <t>Totals</t>
  </si>
  <si>
    <t>Category</t>
  </si>
  <si>
    <t>RT fare times # passengers</t>
  </si>
  <si>
    <t>Costs and expenses:</t>
  </si>
  <si>
    <t>x% of Capital Cost</t>
  </si>
  <si>
    <t>Interest at X% commitment fee at ?????</t>
  </si>
  <si>
    <t xml:space="preserve">Interest </t>
  </si>
  <si>
    <t>%x</t>
  </si>
  <si>
    <t>Sales taxes</t>
  </si>
  <si>
    <t>Depreciation (40years)</t>
  </si>
  <si>
    <t>less upgrades &amp;  replacement reserves</t>
  </si>
  <si>
    <t xml:space="preserve"> Net Income</t>
  </si>
  <si>
    <t>less: Income Taxes @33%</t>
  </si>
  <si>
    <t>Net Income After Taxes</t>
  </si>
  <si>
    <t>Cash Flow</t>
  </si>
  <si>
    <t>yr-1</t>
  </si>
  <si>
    <t>yr-2</t>
  </si>
  <si>
    <t>yr-3</t>
  </si>
  <si>
    <t>yr-4</t>
  </si>
  <si>
    <t>yr-5</t>
  </si>
  <si>
    <t>yr-6</t>
  </si>
  <si>
    <t>yr-7</t>
  </si>
  <si>
    <t>yr-8</t>
  </si>
  <si>
    <t>yr-9</t>
  </si>
  <si>
    <t>yr-10</t>
  </si>
  <si>
    <t>yr-11</t>
  </si>
  <si>
    <t>yr-12</t>
  </si>
  <si>
    <t>yr-13</t>
  </si>
  <si>
    <t>yr-14</t>
  </si>
  <si>
    <t>yr-15</t>
  </si>
  <si>
    <t>yr-16</t>
  </si>
  <si>
    <t>yr-17</t>
  </si>
  <si>
    <t>yr-18</t>
  </si>
  <si>
    <t>yr-19</t>
  </si>
  <si>
    <t>yr-20</t>
  </si>
  <si>
    <t>yr-21</t>
  </si>
  <si>
    <t>yr-22</t>
  </si>
  <si>
    <t>yr-23</t>
  </si>
  <si>
    <t>yr-24</t>
  </si>
  <si>
    <t>yr-25</t>
  </si>
  <si>
    <t>Internal rate of return</t>
  </si>
  <si>
    <t>25 Year Cash Flow Summary</t>
  </si>
  <si>
    <t>Calculations for Return on Investment   ROI</t>
  </si>
  <si>
    <t>Cargo Packages</t>
  </si>
  <si>
    <t>Revenues: ave dailey pass</t>
  </si>
  <si>
    <t xml:space="preserve">Hotel tourists </t>
  </si>
  <si>
    <t xml:space="preserve">Visitors </t>
  </si>
  <si>
    <t>Commuters RTD Belleview Station</t>
  </si>
  <si>
    <t>Communters RTD Orchard Station</t>
  </si>
  <si>
    <t>Total Weekday traffic</t>
  </si>
  <si>
    <t>Weekend traffic at 12.5%</t>
  </si>
  <si>
    <t>Weely Revenues</t>
  </si>
  <si>
    <t>Annual Revenues</t>
  </si>
  <si>
    <t xml:space="preserve">DTC workers that drive </t>
  </si>
  <si>
    <t>Residents</t>
  </si>
  <si>
    <t>Total Traffic per week</t>
  </si>
  <si>
    <t>Franchize and Royalty @ 4%</t>
  </si>
  <si>
    <t>Property taxes @ 1%</t>
  </si>
  <si>
    <t>Operating Costs @ 15%</t>
  </si>
  <si>
    <t>Franchize  royalty @ 4%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</si>
  <si>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</si>
  <si>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</si>
  <si>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</si>
  <si>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</si>
  <si>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</si>
  <si>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</si>
  <si>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</si>
  <si>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</si>
  <si>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</si>
  <si>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</si>
  <si>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</si>
  <si>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</si>
  <si>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</si>
  <si>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</si>
  <si>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</si>
  <si>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</si>
  <si>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</si>
  <si>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</si>
  <si>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</si>
  <si>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</si>
  <si>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</si>
  <si>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</si>
  <si>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</si>
  <si>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</si>
  <si>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</si>
  <si>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 xml:space="preserve">Revenues: </t>
  </si>
  <si>
    <t>25 years of Annual Revenues</t>
  </si>
  <si>
    <t xml:space="preserve">      ( Tourists 1,500 p/d included)</t>
  </si>
  <si>
    <t>franchise Royalty</t>
  </si>
  <si>
    <t>Number of cars</t>
  </si>
  <si>
    <t>Operating cost as a % of Operations</t>
  </si>
  <si>
    <r>
      <t>Employees</t>
    </r>
    <r>
      <rPr>
        <sz val="8"/>
        <color indexed="9"/>
        <rFont val="Helv"/>
        <family val="0"/>
      </rPr>
      <t>: maint-, admin- security-, Station-</t>
    </r>
  </si>
  <si>
    <t>?</t>
  </si>
  <si>
    <t>Denver Tech Center 5.5 Mile Local loop</t>
  </si>
  <si>
    <t xml:space="preserve">Interest rate  </t>
  </si>
  <si>
    <t>Amount borrowed</t>
  </si>
  <si>
    <t>Term of Loan</t>
  </si>
  <si>
    <t>Number of years interest only</t>
  </si>
  <si>
    <t>Net Cash Flow</t>
  </si>
  <si>
    <t>Cumulative</t>
  </si>
  <si>
    <t>Business Improvement District Ownership</t>
  </si>
  <si>
    <t xml:space="preserve">PRICING </t>
  </si>
  <si>
    <t xml:space="preserve">Subscription-DTC workers that drive </t>
  </si>
  <si>
    <t>Subscription-Communters RTD Orchard Station</t>
  </si>
  <si>
    <t>Subscription-Commuters RTD Belleview Station</t>
  </si>
  <si>
    <t>p/day unlimited use</t>
  </si>
  <si>
    <t>Sunscription-Residents</t>
  </si>
  <si>
    <t>p/day one time</t>
  </si>
  <si>
    <t>weight</t>
  </si>
  <si>
    <t>Interest  and  Amortization</t>
  </si>
  <si>
    <t xml:space="preserve"> DTC Cash Flow Proforma  for a 5.5 MileLocal Loop</t>
  </si>
  <si>
    <t>less  Upgrade/Replacement  @ 3%</t>
  </si>
  <si>
    <t>Net Income in Excess of Costs</t>
  </si>
  <si>
    <t>25 yrs of Annual Revenues</t>
  </si>
  <si>
    <t xml:space="preserve">     Revenues at $1.00 pd/$30mo)</t>
  </si>
  <si>
    <t xml:space="preserve">     Revenue at 1.00 pd/$30mo</t>
  </si>
  <si>
    <t>Weekly Revenues</t>
  </si>
  <si>
    <t>Total Weekday Revenues</t>
  </si>
  <si>
    <t>Cargo Packages daily Revenue</t>
  </si>
  <si>
    <t>Operating &amp; Maint Costs @ 30%</t>
  </si>
  <si>
    <t>$82 Mil. Loan Payment 6%</t>
  </si>
  <si>
    <t>Operating Costs @ 30%</t>
  </si>
  <si>
    <t xml:space="preserve">     Revenue at $3 per day)</t>
  </si>
  <si>
    <t>Advertising</t>
  </si>
  <si>
    <t xml:space="preserve">     Revenues at $2.25 per day)</t>
  </si>
  <si>
    <t xml:space="preserve">     Revenue at $1.50 pd/$52 mo</t>
  </si>
  <si>
    <t>Commuters RTD Orchard Station</t>
  </si>
  <si>
    <t>DIRECT COSTS</t>
  </si>
  <si>
    <t>Unit</t>
  </si>
  <si>
    <t>Total</t>
  </si>
  <si>
    <t>Number of Vehicles</t>
  </si>
  <si>
    <t>Engineering</t>
  </si>
  <si>
    <t>job</t>
  </si>
  <si>
    <t>mile</t>
  </si>
  <si>
    <t>Miles of Track</t>
  </si>
  <si>
    <t>Speed (Mph)</t>
  </si>
  <si>
    <t>passenger/veh</t>
  </si>
  <si>
    <t>passengers per day</t>
  </si>
  <si>
    <t>Erection</t>
  </si>
  <si>
    <t>maximum Vehicles</t>
  </si>
  <si>
    <t>Shipping to Job Site</t>
  </si>
  <si>
    <t>ea</t>
  </si>
  <si>
    <t># of peak hours/day</t>
  </si>
  <si>
    <t>Maintenance Facilities</t>
  </si>
  <si>
    <t>each</t>
  </si>
  <si>
    <t>Subtotal Direct</t>
  </si>
  <si>
    <t>INDIRECT COSTS</t>
  </si>
  <si>
    <t xml:space="preserve">TOTAL COST </t>
  </si>
  <si>
    <t xml:space="preserve">Per Mile </t>
  </si>
  <si>
    <t>Guideway fabricatn &amp; Assembly</t>
  </si>
  <si>
    <t>Roadbed track</t>
  </si>
  <si>
    <t>105 Columns and footings</t>
  </si>
  <si>
    <t>Concrete Beams (one Lane)</t>
  </si>
  <si>
    <t>vehicles per mile</t>
  </si>
  <si>
    <t>Contingency and tweeking</t>
  </si>
  <si>
    <t xml:space="preserve">Local Loop Development Costs </t>
  </si>
  <si>
    <t>(000's)</t>
  </si>
  <si>
    <t>Command &amp; Control Systems</t>
  </si>
  <si>
    <t>Web Site Coordination</t>
  </si>
  <si>
    <t>Electrical Power and Propulsion</t>
  </si>
  <si>
    <t>stations</t>
  </si>
  <si>
    <t>Vehicles 83 to start</t>
  </si>
  <si>
    <t>Sub total</t>
  </si>
  <si>
    <t>Administration, insur, CPA, legal</t>
  </si>
  <si>
    <t>22 Stations + off/on ramps of 4400'</t>
  </si>
  <si>
    <t>x 2</t>
  </si>
  <si>
    <t>Per  Mile</t>
  </si>
  <si>
    <t xml:space="preserve">Track  </t>
  </si>
  <si>
    <t>Construction &amp; General Conditions</t>
  </si>
  <si>
    <t>Operation and Maintenance Cost Estimates</t>
  </si>
  <si>
    <t>Operations</t>
  </si>
  <si>
    <t>FTEs</t>
  </si>
  <si>
    <t xml:space="preserve">  </t>
  </si>
  <si>
    <t>Annual Cost</t>
  </si>
  <si>
    <t>Power (5¢/kwh)</t>
  </si>
  <si>
    <t>per year</t>
  </si>
  <si>
    <t xml:space="preserve">   </t>
  </si>
  <si>
    <t>System Operations</t>
  </si>
  <si>
    <t>Security</t>
  </si>
  <si>
    <t>Administrative</t>
  </si>
  <si>
    <t>Fees</t>
  </si>
  <si>
    <t>Labor</t>
  </si>
  <si>
    <t>Materials ,</t>
  </si>
  <si>
    <t>non labor</t>
  </si>
  <si>
    <t xml:space="preserve">       Services and Fees</t>
  </si>
  <si>
    <t>Contingency (@25%)</t>
  </si>
  <si>
    <t>Subtotals</t>
  </si>
  <si>
    <t>total</t>
  </si>
  <si>
    <t>Maintenance</t>
  </si>
  <si>
    <t>Vehicles</t>
  </si>
  <si>
    <t>Guideway</t>
  </si>
  <si>
    <t>Power System</t>
  </si>
  <si>
    <t>Communication &amp; Control System</t>
  </si>
  <si>
    <t>Stations</t>
  </si>
  <si>
    <t>Materials and Services</t>
  </si>
  <si>
    <t>labor</t>
  </si>
  <si>
    <t>Subtotal</t>
  </si>
  <si>
    <t>sub total</t>
  </si>
  <si>
    <t>Other</t>
  </si>
  <si>
    <t>Operating and Maintenance Costs</t>
  </si>
  <si>
    <t>TOTAL O&amp;M COST</t>
  </si>
  <si>
    <t>Op. cost as % of capital cost</t>
  </si>
  <si>
    <t>O &amp; M Cost per passenger mile</t>
  </si>
  <si>
    <t>Capital recovery per pass./ mile</t>
  </si>
  <si>
    <t xml:space="preserve"> Total O&amp;M and Cap. Recovery Cost</t>
  </si>
  <si>
    <t>TOTAL</t>
  </si>
  <si>
    <t>Burden rate=</t>
  </si>
  <si>
    <t>Contingency  (@20%)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</si>
</sst>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_);[Red]\(&quot;$&quot;#,##0.0\)"/>
    <numFmt numFmtId="167" formatCode="0.0%"/>
    <numFmt numFmtId="168" formatCode="&quot;$&quot;#,##0.000_);[Red]\(&quot;$&quot;#,##0.000\)"/>
    <numFmt numFmtId="169" formatCode="&quot;$&quot;#,##0"/>
    <numFmt numFmtId="170" formatCode="&quot;$&quot;#,##0.0000_);[Red]\(&quot;$&quot;#,##0.0000\)"/>
    <numFmt numFmtId="171" formatCode="&quot;$&quot;#,##0.00"/>
    <numFmt numFmtId="172" formatCode="&quot;$&quot;#,##0.0"/>
    <numFmt numFmtId="173" formatCode="#,##0.0_);[Red]\(#,##0.0\)"/>
    <numFmt numFmtId="174" formatCode="&quot;$&quot;#,##0.00000_);[Red]\(&quot;$&quot;#,##0.00000\)"/>
    <numFmt numFmtId="175" formatCode="0.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0"/>
    <numFmt numFmtId="182" formatCode="0_)"/>
    <numFmt numFmtId="183" formatCode="0.000"/>
    <numFmt numFmtId="184" formatCode="0.0_)"/>
  </numFmts>
  <fonts count="3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9"/>
      <name val="Helv"/>
      <family val="0"/>
    </font>
    <font>
      <sz val="10"/>
      <color indexed="9"/>
      <name val="Helv"/>
      <family val="0"/>
    </font>
    <font>
      <sz val="9"/>
      <color indexed="9"/>
      <name val="Helv"/>
      <family val="0"/>
    </font>
    <font>
      <b/>
      <sz val="9"/>
      <color indexed="9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8"/>
      <color indexed="9"/>
      <name val="Helv"/>
      <family val="0"/>
    </font>
    <font>
      <u val="single"/>
      <sz val="8"/>
      <name val="Helv"/>
      <family val="0"/>
    </font>
    <font>
      <b/>
      <sz val="8"/>
      <name val="Helv"/>
      <family val="0"/>
    </font>
    <font>
      <sz val="8"/>
      <name val="Tahoma"/>
      <family val="0"/>
    </font>
    <font>
      <sz val="14"/>
      <name val="Helv"/>
      <family val="0"/>
    </font>
    <font>
      <b/>
      <u val="single"/>
      <sz val="8"/>
      <name val="Helv"/>
      <family val="0"/>
    </font>
    <font>
      <b/>
      <sz val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sz val="7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26"/>
      <name val="Helv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97">
    <xf numFmtId="164" fontId="0" fillId="0" borderId="0" xfId="0" applyAlignment="1">
      <alignment/>
    </xf>
    <xf numFmtId="9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6" fillId="2" borderId="1" xfId="0" applyNumberFormat="1" applyFont="1" applyFill="1" applyBorder="1" applyAlignment="1" applyProtection="1">
      <alignment horizontal="left"/>
      <protection/>
    </xf>
    <xf numFmtId="167" fontId="5" fillId="2" borderId="0" xfId="0" applyNumberFormat="1" applyFont="1" applyFill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38" fontId="8" fillId="3" borderId="1" xfId="0" applyNumberFormat="1" applyFont="1" applyFill="1" applyBorder="1" applyAlignment="1" applyProtection="1">
      <alignment/>
      <protection/>
    </xf>
    <xf numFmtId="2" fontId="8" fillId="3" borderId="1" xfId="0" applyNumberFormat="1" applyFont="1" applyFill="1" applyBorder="1" applyAlignment="1" applyProtection="1">
      <alignment/>
      <protection/>
    </xf>
    <xf numFmtId="9" fontId="8" fillId="3" borderId="1" xfId="0" applyNumberFormat="1" applyFont="1" applyFill="1" applyBorder="1" applyAlignment="1" applyProtection="1">
      <alignment/>
      <protection/>
    </xf>
    <xf numFmtId="8" fontId="8" fillId="3" borderId="1" xfId="0" applyNumberFormat="1" applyFont="1" applyFill="1" applyBorder="1" applyAlignment="1" applyProtection="1">
      <alignment/>
      <protection/>
    </xf>
    <xf numFmtId="166" fontId="8" fillId="3" borderId="1" xfId="0" applyNumberFormat="1" applyFont="1" applyFill="1" applyBorder="1" applyAlignment="1" applyProtection="1">
      <alignment/>
      <protection/>
    </xf>
    <xf numFmtId="167" fontId="8" fillId="3" borderId="1" xfId="0" applyNumberFormat="1" applyFont="1" applyFill="1" applyBorder="1" applyAlignment="1" applyProtection="1">
      <alignment/>
      <protection/>
    </xf>
    <xf numFmtId="9" fontId="5" fillId="3" borderId="1" xfId="0" applyNumberFormat="1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right"/>
      <protection/>
    </xf>
    <xf numFmtId="164" fontId="12" fillId="2" borderId="1" xfId="0" applyNumberFormat="1" applyFont="1" applyFill="1" applyBorder="1" applyAlignment="1" applyProtection="1">
      <alignment horizontal="left"/>
      <protection/>
    </xf>
    <xf numFmtId="164" fontId="13" fillId="0" borderId="0" xfId="0" applyFont="1" applyAlignment="1">
      <alignment/>
    </xf>
    <xf numFmtId="8" fontId="11" fillId="0" borderId="0" xfId="0" applyNumberFormat="1" applyFont="1" applyAlignment="1" applyProtection="1">
      <alignment/>
      <protection/>
    </xf>
    <xf numFmtId="8" fontId="14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4" fillId="0" borderId="0" xfId="0" applyNumberFormat="1" applyFont="1" applyAlignment="1" applyProtection="1">
      <alignment horizontal="left"/>
      <protection/>
    </xf>
    <xf numFmtId="164" fontId="11" fillId="0" borderId="0" xfId="0" applyFont="1" applyAlignment="1">
      <alignment horizontal="left"/>
    </xf>
    <xf numFmtId="164" fontId="11" fillId="0" borderId="2" xfId="0" applyNumberFormat="1" applyFont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center"/>
      <protection/>
    </xf>
    <xf numFmtId="9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1" fillId="0" borderId="3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6" fillId="4" borderId="0" xfId="0" applyFont="1" applyFill="1" applyBorder="1" applyAlignment="1">
      <alignment/>
    </xf>
    <xf numFmtId="164" fontId="16" fillId="4" borderId="0" xfId="0" applyFont="1" applyFill="1" applyAlignment="1">
      <alignment/>
    </xf>
    <xf numFmtId="164" fontId="11" fillId="5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11" fillId="5" borderId="0" xfId="0" applyNumberFormat="1" applyFont="1" applyFill="1" applyAlignment="1" applyProtection="1">
      <alignment/>
      <protection/>
    </xf>
    <xf numFmtId="3" fontId="11" fillId="5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 horizontal="right"/>
      <protection/>
    </xf>
    <xf numFmtId="3" fontId="14" fillId="5" borderId="0" xfId="0" applyNumberFormat="1" applyFont="1" applyFill="1" applyAlignment="1" applyProtection="1">
      <alignment horizontal="right"/>
      <protection/>
    </xf>
    <xf numFmtId="3" fontId="14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/>
      <protection/>
    </xf>
    <xf numFmtId="9" fontId="14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 horizontal="right"/>
      <protection/>
    </xf>
    <xf numFmtId="4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3" fontId="11" fillId="5" borderId="5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/>
    </xf>
    <xf numFmtId="9" fontId="11" fillId="5" borderId="0" xfId="0" applyNumberFormat="1" applyFont="1" applyFill="1" applyAlignment="1" applyProtection="1">
      <alignment/>
      <protection/>
    </xf>
    <xf numFmtId="9" fontId="11" fillId="5" borderId="0" xfId="0" applyNumberFormat="1" applyFont="1" applyFill="1" applyBorder="1" applyAlignment="1" applyProtection="1">
      <alignment/>
      <protection/>
    </xf>
    <xf numFmtId="40" fontId="11" fillId="5" borderId="0" xfId="0" applyNumberFormat="1" applyFont="1" applyFill="1" applyAlignment="1" applyProtection="1">
      <alignment/>
      <protection/>
    </xf>
    <xf numFmtId="40" fontId="11" fillId="0" borderId="0" xfId="0" applyNumberFormat="1" applyFont="1" applyAlignment="1" applyProtection="1">
      <alignment horizontal="right"/>
      <protection/>
    </xf>
    <xf numFmtId="164" fontId="11" fillId="0" borderId="0" xfId="0" applyFont="1" applyAlignment="1">
      <alignment horizontal="right"/>
    </xf>
    <xf numFmtId="169" fontId="16" fillId="4" borderId="0" xfId="0" applyNumberFormat="1" applyFont="1" applyFill="1" applyAlignment="1">
      <alignment/>
    </xf>
    <xf numFmtId="169" fontId="10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6" xfId="0" applyNumberFormat="1" applyFont="1" applyBorder="1" applyAlignment="1">
      <alignment/>
    </xf>
    <xf numFmtId="175" fontId="0" fillId="0" borderId="0" xfId="0" applyNumberFormat="1" applyAlignment="1">
      <alignment/>
    </xf>
    <xf numFmtId="171" fontId="5" fillId="3" borderId="0" xfId="0" applyNumberFormat="1" applyFont="1" applyFill="1" applyAlignment="1">
      <alignment/>
    </xf>
    <xf numFmtId="1" fontId="8" fillId="3" borderId="1" xfId="0" applyNumberFormat="1" applyFont="1" applyFill="1" applyBorder="1" applyAlignment="1" applyProtection="1">
      <alignment/>
      <protection/>
    </xf>
    <xf numFmtId="164" fontId="0" fillId="6" borderId="0" xfId="0" applyFill="1" applyAlignment="1">
      <alignment/>
    </xf>
    <xf numFmtId="169" fontId="0" fillId="6" borderId="0" xfId="0" applyNumberFormat="1" applyFill="1" applyAlignment="1">
      <alignment/>
    </xf>
    <xf numFmtId="164" fontId="18" fillId="6" borderId="0" xfId="0" applyFont="1" applyFill="1" applyAlignment="1">
      <alignment/>
    </xf>
    <xf numFmtId="164" fontId="7" fillId="2" borderId="7" xfId="0" applyNumberFormat="1" applyFont="1" applyFill="1" applyBorder="1" applyAlignment="1" applyProtection="1">
      <alignment horizontal="left"/>
      <protection/>
    </xf>
    <xf numFmtId="164" fontId="11" fillId="4" borderId="8" xfId="0" applyNumberFormat="1" applyFont="1" applyFill="1" applyBorder="1" applyAlignment="1" applyProtection="1">
      <alignment horizontal="center"/>
      <protection/>
    </xf>
    <xf numFmtId="2" fontId="11" fillId="5" borderId="0" xfId="0" applyNumberFormat="1" applyFont="1" applyFill="1" applyAlignment="1">
      <alignment/>
    </xf>
    <xf numFmtId="3" fontId="11" fillId="5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64" fontId="11" fillId="5" borderId="0" xfId="0" applyFont="1" applyFill="1" applyBorder="1" applyAlignment="1">
      <alignment/>
    </xf>
    <xf numFmtId="10" fontId="11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Alignment="1" applyProtection="1">
      <alignment horizontal="left"/>
      <protection/>
    </xf>
    <xf numFmtId="10" fontId="11" fillId="0" borderId="0" xfId="0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 horizontal="right"/>
      <protection/>
    </xf>
    <xf numFmtId="6" fontId="11" fillId="0" borderId="0" xfId="0" applyNumberFormat="1" applyFont="1" applyAlignment="1" applyProtection="1">
      <alignment/>
      <protection/>
    </xf>
    <xf numFmtId="8" fontId="11" fillId="5" borderId="0" xfId="0" applyNumberFormat="1" applyFont="1" applyFill="1" applyAlignment="1" applyProtection="1">
      <alignment/>
      <protection/>
    </xf>
    <xf numFmtId="164" fontId="14" fillId="5" borderId="2" xfId="0" applyNumberFormat="1" applyFont="1" applyFill="1" applyBorder="1" applyAlignment="1" applyProtection="1">
      <alignment horizontal="left"/>
      <protection/>
    </xf>
    <xf numFmtId="164" fontId="11" fillId="5" borderId="2" xfId="0" applyNumberFormat="1" applyFont="1" applyFill="1" applyBorder="1" applyAlignment="1" applyProtection="1">
      <alignment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1" fillId="0" borderId="9" xfId="0" applyNumberFormat="1" applyFont="1" applyBorder="1" applyAlignment="1" applyProtection="1">
      <alignment/>
      <protection/>
    </xf>
    <xf numFmtId="164" fontId="11" fillId="5" borderId="0" xfId="0" applyNumberFormat="1" applyFont="1" applyFill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left"/>
      <protection/>
    </xf>
    <xf numFmtId="10" fontId="11" fillId="5" borderId="0" xfId="0" applyNumberFormat="1" applyFont="1" applyFill="1" applyAlignment="1" applyProtection="1">
      <alignment/>
      <protection/>
    </xf>
    <xf numFmtId="9" fontId="11" fillId="0" borderId="10" xfId="0" applyNumberFormat="1" applyFont="1" applyBorder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5" borderId="0" xfId="0" applyNumberFormat="1" applyFont="1" applyFill="1" applyAlignment="1" applyProtection="1">
      <alignment/>
      <protection/>
    </xf>
    <xf numFmtId="9" fontId="11" fillId="0" borderId="10" xfId="0" applyNumberFormat="1" applyFont="1" applyBorder="1" applyAlignment="1" applyProtection="1">
      <alignment horizontal="left"/>
      <protection/>
    </xf>
    <xf numFmtId="8" fontId="1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/>
      <protection/>
    </xf>
    <xf numFmtId="164" fontId="11" fillId="5" borderId="3" xfId="0" applyNumberFormat="1" applyFont="1" applyFill="1" applyBorder="1" applyAlignment="1" applyProtection="1">
      <alignment/>
      <protection/>
    </xf>
    <xf numFmtId="9" fontId="11" fillId="5" borderId="3" xfId="0" applyNumberFormat="1" applyFont="1" applyFill="1" applyBorder="1" applyAlignment="1" applyProtection="1">
      <alignment/>
      <protection/>
    </xf>
    <xf numFmtId="9" fontId="11" fillId="0" borderId="11" xfId="0" applyNumberFormat="1" applyFont="1" applyBorder="1" applyAlignment="1" applyProtection="1">
      <alignment/>
      <protection/>
    </xf>
    <xf numFmtId="3" fontId="14" fillId="0" borderId="0" xfId="0" applyNumberFormat="1" applyFont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14" fillId="4" borderId="8" xfId="0" applyNumberFormat="1" applyFont="1" applyFill="1" applyBorder="1" applyAlignment="1" applyProtection="1">
      <alignment horizontal="right"/>
      <protection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9" fontId="1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9" fontId="11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164" fontId="22" fillId="0" borderId="0" xfId="0" applyFont="1" applyAlignment="1">
      <alignment/>
    </xf>
    <xf numFmtId="164" fontId="22" fillId="5" borderId="0" xfId="0" applyFont="1" applyFill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3" fontId="24" fillId="5" borderId="0" xfId="15" applyNumberFormat="1" applyFont="1" applyFill="1" applyAlignment="1">
      <alignment/>
    </xf>
    <xf numFmtId="164" fontId="24" fillId="0" borderId="0" xfId="0" applyFont="1" applyAlignment="1">
      <alignment horizontal="left"/>
    </xf>
    <xf numFmtId="164" fontId="24" fillId="0" borderId="0" xfId="0" applyFont="1" applyAlignment="1">
      <alignment/>
    </xf>
    <xf numFmtId="3" fontId="24" fillId="0" borderId="0" xfId="15" applyNumberFormat="1" applyFont="1" applyAlignment="1">
      <alignment/>
    </xf>
    <xf numFmtId="169" fontId="11" fillId="5" borderId="0" xfId="0" applyNumberFormat="1" applyFont="1" applyFill="1" applyAlignment="1">
      <alignment/>
    </xf>
    <xf numFmtId="169" fontId="11" fillId="0" borderId="0" xfId="0" applyNumberFormat="1" applyFont="1" applyAlignment="1">
      <alignment/>
    </xf>
    <xf numFmtId="169" fontId="11" fillId="0" borderId="0" xfId="0" applyNumberFormat="1" applyFont="1" applyAlignment="1" applyProtection="1">
      <alignment/>
      <protection/>
    </xf>
    <xf numFmtId="169" fontId="11" fillId="0" borderId="0" xfId="0" applyNumberFormat="1" applyFont="1" applyAlignment="1">
      <alignment horizontal="right"/>
    </xf>
    <xf numFmtId="169" fontId="14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left"/>
    </xf>
    <xf numFmtId="169" fontId="11" fillId="5" borderId="0" xfId="0" applyNumberFormat="1" applyFont="1" applyFill="1" applyAlignment="1" applyProtection="1">
      <alignment/>
      <protection/>
    </xf>
    <xf numFmtId="169" fontId="14" fillId="0" borderId="0" xfId="0" applyNumberFormat="1" applyFont="1" applyAlignment="1" applyProtection="1">
      <alignment horizontal="right"/>
      <protection/>
    </xf>
    <xf numFmtId="169" fontId="14" fillId="0" borderId="0" xfId="0" applyNumberFormat="1" applyFont="1" applyAlignment="1" applyProtection="1">
      <alignment/>
      <protection/>
    </xf>
    <xf numFmtId="3" fontId="17" fillId="0" borderId="12" xfId="0" applyNumberFormat="1" applyFont="1" applyBorder="1" applyAlignment="1">
      <alignment horizontal="right"/>
    </xf>
    <xf numFmtId="3" fontId="11" fillId="5" borderId="12" xfId="0" applyNumberFormat="1" applyFont="1" applyFill="1" applyBorder="1" applyAlignment="1" applyProtection="1">
      <alignment/>
      <protection/>
    </xf>
    <xf numFmtId="3" fontId="14" fillId="0" borderId="12" xfId="0" applyNumberFormat="1" applyFont="1" applyBorder="1" applyAlignment="1">
      <alignment horizontal="right"/>
    </xf>
    <xf numFmtId="3" fontId="14" fillId="5" borderId="0" xfId="0" applyNumberFormat="1" applyFont="1" applyFill="1" applyAlignment="1">
      <alignment/>
    </xf>
    <xf numFmtId="164" fontId="0" fillId="5" borderId="8" xfId="21" applyNumberFormat="1" applyFill="1" applyBorder="1" applyProtection="1">
      <alignment/>
      <protection/>
    </xf>
    <xf numFmtId="164" fontId="0" fillId="5" borderId="8" xfId="21" applyFill="1" applyBorder="1">
      <alignment/>
      <protection/>
    </xf>
    <xf numFmtId="164" fontId="27" fillId="5" borderId="8" xfId="21" applyFont="1" applyFill="1" applyBorder="1">
      <alignment/>
      <protection/>
    </xf>
    <xf numFmtId="5" fontId="0" fillId="5" borderId="8" xfId="21" applyNumberFormat="1" applyFill="1" applyBorder="1" applyAlignment="1" applyProtection="1">
      <alignment horizontal="right"/>
      <protection/>
    </xf>
    <xf numFmtId="164" fontId="0" fillId="5" borderId="8" xfId="21" applyNumberFormat="1" applyFill="1" applyBorder="1" applyAlignment="1" applyProtection="1">
      <alignment horizontal="right"/>
      <protection/>
    </xf>
    <xf numFmtId="169" fontId="0" fillId="5" borderId="8" xfId="21" applyNumberFormat="1" applyFill="1" applyBorder="1" applyProtection="1">
      <alignment/>
      <protection/>
    </xf>
    <xf numFmtId="164" fontId="0" fillId="0" borderId="8" xfId="21" applyBorder="1">
      <alignment/>
      <protection/>
    </xf>
    <xf numFmtId="164" fontId="0" fillId="8" borderId="8" xfId="21" applyNumberFormat="1" applyFill="1" applyBorder="1" applyProtection="1">
      <alignment/>
      <protection/>
    </xf>
    <xf numFmtId="164" fontId="9" fillId="8" borderId="8" xfId="21" applyNumberFormat="1" applyFont="1" applyFill="1" applyBorder="1" applyAlignment="1" applyProtection="1">
      <alignment horizontal="left"/>
      <protection/>
    </xf>
    <xf numFmtId="164" fontId="0" fillId="8" borderId="8" xfId="21" applyFill="1" applyBorder="1">
      <alignment/>
      <protection/>
    </xf>
    <xf numFmtId="164" fontId="0" fillId="9" borderId="8" xfId="21" applyNumberFormat="1" applyFont="1" applyFill="1" applyBorder="1" applyAlignment="1" applyProtection="1">
      <alignment horizontal="right"/>
      <protection/>
    </xf>
    <xf numFmtId="164" fontId="9" fillId="9" borderId="8" xfId="21" applyNumberFormat="1" applyFont="1" applyFill="1" applyBorder="1" applyAlignment="1" applyProtection="1">
      <alignment horizontal="center"/>
      <protection/>
    </xf>
    <xf numFmtId="164" fontId="9" fillId="9" borderId="8" xfId="21" applyNumberFormat="1" applyFont="1" applyFill="1" applyBorder="1" applyAlignment="1" applyProtection="1">
      <alignment horizontal="right"/>
      <protection/>
    </xf>
    <xf numFmtId="169" fontId="9" fillId="5" borderId="8" xfId="21" applyNumberFormat="1" applyFont="1" applyFill="1" applyBorder="1" applyAlignment="1" applyProtection="1">
      <alignment horizontal="center"/>
      <protection/>
    </xf>
    <xf numFmtId="164" fontId="9" fillId="0" borderId="8" xfId="21" applyNumberFormat="1" applyFont="1" applyBorder="1" applyAlignment="1" applyProtection="1">
      <alignment horizontal="left"/>
      <protection/>
    </xf>
    <xf numFmtId="182" fontId="9" fillId="0" borderId="8" xfId="21" applyNumberFormat="1" applyFont="1" applyBorder="1" applyProtection="1">
      <alignment/>
      <protection/>
    </xf>
    <xf numFmtId="164" fontId="0" fillId="8" borderId="8" xfId="21" applyFill="1" applyBorder="1" applyAlignment="1">
      <alignment horizontal="left"/>
      <protection/>
    </xf>
    <xf numFmtId="183" fontId="0" fillId="9" borderId="8" xfId="21" applyNumberFormat="1" applyFill="1" applyBorder="1" applyAlignment="1" applyProtection="1">
      <alignment horizontal="right"/>
      <protection/>
    </xf>
    <xf numFmtId="164" fontId="0" fillId="9" borderId="8" xfId="21" applyFill="1" applyBorder="1" applyAlignment="1">
      <alignment horizontal="left"/>
      <protection/>
    </xf>
    <xf numFmtId="6" fontId="0" fillId="9" borderId="8" xfId="21" applyNumberFormat="1" applyFill="1" applyBorder="1" applyAlignment="1" applyProtection="1">
      <alignment horizontal="right"/>
      <protection/>
    </xf>
    <xf numFmtId="164" fontId="0" fillId="0" borderId="8" xfId="21" applyBorder="1" applyAlignment="1">
      <alignment horizontal="left"/>
      <protection/>
    </xf>
    <xf numFmtId="184" fontId="0" fillId="0" borderId="8" xfId="21" applyNumberFormat="1" applyBorder="1" applyProtection="1">
      <alignment/>
      <protection/>
    </xf>
    <xf numFmtId="166" fontId="0" fillId="9" borderId="8" xfId="21" applyNumberFormat="1" applyFill="1" applyBorder="1" applyAlignment="1" applyProtection="1">
      <alignment horizontal="right"/>
      <protection/>
    </xf>
    <xf numFmtId="169" fontId="0" fillId="5" borderId="8" xfId="21" applyNumberFormat="1" applyFill="1" applyBorder="1" applyAlignment="1" applyProtection="1">
      <alignment horizontal="left"/>
      <protection/>
    </xf>
    <xf numFmtId="164" fontId="0" fillId="8" borderId="8" xfId="21" applyFont="1" applyFill="1" applyBorder="1" applyAlignment="1">
      <alignment horizontal="left"/>
      <protection/>
    </xf>
    <xf numFmtId="166" fontId="0" fillId="9" borderId="8" xfId="21" applyNumberFormat="1" applyFill="1" applyBorder="1" applyAlignment="1" applyProtection="1">
      <alignment horizontal="right" vertical="center"/>
      <protection/>
    </xf>
    <xf numFmtId="164" fontId="0" fillId="9" borderId="8" xfId="21" applyFont="1" applyFill="1" applyBorder="1" applyAlignment="1">
      <alignment horizontal="left"/>
      <protection/>
    </xf>
    <xf numFmtId="6" fontId="0" fillId="9" borderId="8" xfId="21" applyNumberFormat="1" applyFill="1" applyBorder="1" applyAlignment="1" applyProtection="1">
      <alignment horizontal="right" vertical="center"/>
      <protection/>
    </xf>
    <xf numFmtId="164" fontId="0" fillId="9" borderId="8" xfId="21" applyFill="1" applyBorder="1">
      <alignment/>
      <protection/>
    </xf>
    <xf numFmtId="6" fontId="10" fillId="9" borderId="8" xfId="21" applyNumberFormat="1" applyFont="1" applyFill="1" applyBorder="1" applyAlignment="1" applyProtection="1">
      <alignment horizontal="right" vertical="center"/>
      <protection/>
    </xf>
    <xf numFmtId="169" fontId="0" fillId="5" borderId="8" xfId="21" applyNumberFormat="1" applyFill="1" applyBorder="1">
      <alignment/>
      <protection/>
    </xf>
    <xf numFmtId="164" fontId="0" fillId="8" borderId="8" xfId="21" applyNumberFormat="1" applyFont="1" applyFill="1" applyBorder="1" applyAlignment="1" applyProtection="1">
      <alignment horizontal="left"/>
      <protection/>
    </xf>
    <xf numFmtId="164" fontId="0" fillId="9" borderId="8" xfId="21" applyFont="1" applyFill="1" applyBorder="1">
      <alignment/>
      <protection/>
    </xf>
    <xf numFmtId="164" fontId="0" fillId="8" borderId="8" xfId="21" applyFont="1" applyFill="1" applyBorder="1">
      <alignment/>
      <protection/>
    </xf>
    <xf numFmtId="164" fontId="0" fillId="9" borderId="8" xfId="21" applyFill="1" applyBorder="1" applyAlignment="1">
      <alignment horizontal="right" vertical="center"/>
      <protection/>
    </xf>
    <xf numFmtId="9" fontId="0" fillId="8" borderId="8" xfId="21" applyNumberFormat="1" applyFill="1" applyBorder="1" applyProtection="1">
      <alignment/>
      <protection/>
    </xf>
    <xf numFmtId="169" fontId="9" fillId="5" borderId="8" xfId="21" applyNumberFormat="1" applyFont="1" applyFill="1" applyBorder="1" applyProtection="1">
      <alignment/>
      <protection/>
    </xf>
    <xf numFmtId="164" fontId="28" fillId="0" borderId="0" xfId="0" applyFont="1" applyAlignment="1">
      <alignment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0" fillId="0" borderId="14" xfId="0" applyBorder="1" applyAlignment="1">
      <alignment/>
    </xf>
    <xf numFmtId="164" fontId="29" fillId="0" borderId="0" xfId="0" applyFont="1" applyAlignment="1">
      <alignment/>
    </xf>
    <xf numFmtId="6" fontId="30" fillId="0" borderId="0" xfId="17" applyNumberForma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29" fillId="0" borderId="0" xfId="0" applyNumberFormat="1" applyFont="1" applyAlignment="1">
      <alignment/>
    </xf>
    <xf numFmtId="167" fontId="29" fillId="0" borderId="0" xfId="22" applyNumberFormat="1" applyFont="1" applyAlignment="1">
      <alignment/>
    </xf>
    <xf numFmtId="168" fontId="29" fillId="0" borderId="0" xfId="17" applyNumberFormat="1" applyFont="1" applyAlignment="1">
      <alignment/>
    </xf>
    <xf numFmtId="168" fontId="31" fillId="0" borderId="0" xfId="17" applyNumberFormat="1" applyFont="1" applyAlignment="1">
      <alignment/>
    </xf>
    <xf numFmtId="168" fontId="29" fillId="0" borderId="0" xfId="0" applyNumberFormat="1" applyFont="1" applyAlignment="1">
      <alignment/>
    </xf>
    <xf numFmtId="9" fontId="30" fillId="0" borderId="0" xfId="22" applyAlignment="1">
      <alignment/>
    </xf>
    <xf numFmtId="6" fontId="30" fillId="0" borderId="12" xfId="17" applyNumberFormat="1" applyBorder="1" applyAlignment="1">
      <alignment/>
    </xf>
    <xf numFmtId="6" fontId="0" fillId="0" borderId="6" xfId="0" applyNumberFormat="1" applyBorder="1" applyAlignment="1">
      <alignment/>
    </xf>
    <xf numFmtId="164" fontId="11" fillId="4" borderId="13" xfId="0" applyFont="1" applyFill="1" applyBorder="1" applyAlignment="1">
      <alignment/>
    </xf>
    <xf numFmtId="164" fontId="11" fillId="0" borderId="5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Flow Statement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65"/>
          <c:w val="0.853"/>
          <c:h val="0.6395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Cashflow!$E$23:$S$23</c:f>
              <c:numCache>
                <c:ptCount val="15"/>
                <c:pt idx="0">
                  <c:v>194337.5</c:v>
                </c:pt>
                <c:pt idx="1">
                  <c:v>201139.3125</c:v>
                </c:pt>
                <c:pt idx="2">
                  <c:v>208179.18843749998</c:v>
                </c:pt>
                <c:pt idx="3">
                  <c:v>215465.46003281247</c:v>
                </c:pt>
                <c:pt idx="4">
                  <c:v>223006.75113396088</c:v>
                </c:pt>
                <c:pt idx="5">
                  <c:v>230811.98742364947</c:v>
                </c:pt>
                <c:pt idx="6">
                  <c:v>238890.4069834772</c:v>
                </c:pt>
                <c:pt idx="7">
                  <c:v>247251.57122789888</c:v>
                </c:pt>
                <c:pt idx="8">
                  <c:v>255905.37622087533</c:v>
                </c:pt>
                <c:pt idx="9">
                  <c:v>264862.06438860594</c:v>
                </c:pt>
                <c:pt idx="10">
                  <c:v>274132.23664220714</c:v>
                </c:pt>
                <c:pt idx="11">
                  <c:v>283726.86492468434</c:v>
                </c:pt>
                <c:pt idx="12">
                  <c:v>293657.3051970483</c:v>
                </c:pt>
                <c:pt idx="13">
                  <c:v>303935.310878945</c:v>
                </c:pt>
                <c:pt idx="14">
                  <c:v>314573.04675970797</c:v>
                </c:pt>
              </c:numCache>
            </c:numRef>
          </c:val>
          <c:smooth val="0"/>
        </c:ser>
        <c:ser>
          <c:idx val="1"/>
          <c:order val="1"/>
          <c:tx>
            <c:v>NET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Cashflow!$E$32:$S$32</c:f>
              <c:numCache>
                <c:ptCount val="15"/>
                <c:pt idx="0">
                  <c:v>26572.5</c:v>
                </c:pt>
                <c:pt idx="1">
                  <c:v>249399.87749999948</c:v>
                </c:pt>
                <c:pt idx="2">
                  <c:v>480026.2132124994</c:v>
                </c:pt>
                <c:pt idx="3">
                  <c:v>718724.4706749376</c:v>
                </c:pt>
                <c:pt idx="4">
                  <c:v>965777.1671485584</c:v>
                </c:pt>
                <c:pt idx="5">
                  <c:v>1221476.7079987563</c:v>
                </c:pt>
                <c:pt idx="6">
                  <c:v>1486125.732778713</c:v>
                </c:pt>
                <c:pt idx="7">
                  <c:v>1760037.4734259695</c:v>
                </c:pt>
                <c:pt idx="8">
                  <c:v>2043536.124995876</c:v>
                </c:pt>
                <c:pt idx="9">
                  <c:v>2336957.229370732</c:v>
                </c:pt>
                <c:pt idx="10">
                  <c:v>2640648.0723987073</c:v>
                </c:pt>
                <c:pt idx="11">
                  <c:v>2954968.0949326586</c:v>
                </c:pt>
                <c:pt idx="12">
                  <c:v>3280289.3182553016</c:v>
                </c:pt>
                <c:pt idx="13">
                  <c:v>3616996.784394238</c:v>
                </c:pt>
                <c:pt idx="14">
                  <c:v>3965489.0118480325</c:v>
                </c:pt>
              </c:numCache>
            </c:numRef>
          </c:val>
          <c:smooth val="0"/>
        </c:ser>
        <c:ser>
          <c:idx val="2"/>
          <c:order val="2"/>
          <c:tx>
            <c:v>NET CASH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Cashflow!$E$35:$S$35</c:f>
              <c:numCache>
                <c:ptCount val="15"/>
              </c:numCache>
            </c:numRef>
          </c:val>
          <c:smooth val="0"/>
        </c:ser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2975398"/>
        <c:crosses val="autoZero"/>
        <c:auto val="0"/>
        <c:lblOffset val="100"/>
        <c:noMultiLvlLbl val="0"/>
      </c:catAx>
      <c:valAx>
        <c:axId val="1297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4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828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10</xdr:col>
      <xdr:colOff>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362450" y="342900"/>
        <a:ext cx="3190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martskyways.com/Market/feasibility/DTC%20Model/Operatingmode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COST"/>
      <sheetName val="OPCOSTS"/>
      <sheetName val="CASHFLO"/>
    </sheetNames>
    <sheetDataSet>
      <sheetData sheetId="0">
        <row r="5">
          <cell r="B5">
            <v>24</v>
          </cell>
        </row>
        <row r="6">
          <cell r="B6">
            <v>240</v>
          </cell>
        </row>
        <row r="7">
          <cell r="B7">
            <v>30000</v>
          </cell>
        </row>
        <row r="9">
          <cell r="B9">
            <v>15</v>
          </cell>
        </row>
        <row r="16">
          <cell r="B16">
            <v>126899.09999999999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workbookViewId="0" topLeftCell="A11">
      <selection activeCell="F34" sqref="F34"/>
    </sheetView>
  </sheetViews>
  <sheetFormatPr defaultColWidth="9.140625" defaultRowHeight="12.75"/>
  <cols>
    <col min="4" max="4" width="13.28125" style="0" customWidth="1"/>
    <col min="5" max="5" width="12.8515625" style="48" customWidth="1"/>
  </cols>
  <sheetData>
    <row r="1" spans="2:7" ht="25.5" customHeight="1">
      <c r="B1" s="81" t="s">
        <v>106</v>
      </c>
      <c r="C1" s="79"/>
      <c r="D1" s="79"/>
      <c r="E1" s="80"/>
      <c r="F1" s="79"/>
      <c r="G1" s="79"/>
    </row>
    <row r="2" spans="2:7" ht="12.75">
      <c r="B2" s="79"/>
      <c r="C2" s="79"/>
      <c r="D2" s="79"/>
      <c r="E2" s="80"/>
      <c r="F2" s="79"/>
      <c r="G2" s="79"/>
    </row>
    <row r="3" spans="2:7" ht="18">
      <c r="B3" s="43" t="s">
        <v>54</v>
      </c>
      <c r="C3" s="44"/>
      <c r="D3" s="44"/>
      <c r="E3" s="72"/>
      <c r="F3" s="72"/>
      <c r="G3" s="72"/>
    </row>
    <row r="4" ht="12.75">
      <c r="B4" s="7" t="s">
        <v>98</v>
      </c>
    </row>
    <row r="5" ht="12.75">
      <c r="B5" t="s">
        <v>66</v>
      </c>
    </row>
    <row r="6" ht="12.75">
      <c r="B6" t="s">
        <v>60</v>
      </c>
    </row>
    <row r="7" ht="12.75">
      <c r="B7" t="s">
        <v>61</v>
      </c>
    </row>
    <row r="8" ht="12.75">
      <c r="B8" t="s">
        <v>58</v>
      </c>
    </row>
    <row r="9" ht="12.75">
      <c r="B9" t="s">
        <v>59</v>
      </c>
    </row>
    <row r="10" ht="12.75">
      <c r="B10" t="s">
        <v>56</v>
      </c>
    </row>
    <row r="11" spans="2:5" ht="12.75">
      <c r="B11" t="s">
        <v>67</v>
      </c>
      <c r="E11" s="73"/>
    </row>
    <row r="12" spans="2:5" ht="12.75">
      <c r="B12" t="s">
        <v>62</v>
      </c>
      <c r="D12" s="35"/>
      <c r="E12" s="74"/>
    </row>
    <row r="13" ht="12.75">
      <c r="B13" t="s">
        <v>63</v>
      </c>
    </row>
    <row r="14" ht="12.75"/>
    <row r="15" spans="2:3" ht="12.75">
      <c r="B15" s="26" t="s">
        <v>64</v>
      </c>
      <c r="C15" s="27"/>
    </row>
    <row r="16" spans="2:5" ht="12.75">
      <c r="B16" s="26" t="s">
        <v>99</v>
      </c>
      <c r="C16" s="27"/>
      <c r="E16" s="48">
        <f>Cashflow!AD24</f>
        <v>393609724.3074234</v>
      </c>
    </row>
    <row r="17" spans="2:3" ht="12.75">
      <c r="B17" s="29"/>
      <c r="C17" s="19"/>
    </row>
    <row r="18" spans="2:3" ht="12.75">
      <c r="B18" s="28" t="s">
        <v>16</v>
      </c>
      <c r="C18" s="19"/>
    </row>
    <row r="19" spans="2:5" ht="12.75">
      <c r="B19" s="29" t="s">
        <v>71</v>
      </c>
      <c r="C19" s="19"/>
      <c r="D19" s="35"/>
      <c r="E19" s="48">
        <f>Cashflow!AD27</f>
        <v>118082917.292227</v>
      </c>
    </row>
    <row r="20" spans="2:5" ht="12.75">
      <c r="B20" s="29" t="s">
        <v>19</v>
      </c>
      <c r="C20" s="19"/>
      <c r="D20" s="40"/>
      <c r="E20" s="48">
        <f>Cashflow!AD28</f>
        <v>158498100</v>
      </c>
    </row>
    <row r="21" spans="2:5" ht="12.75">
      <c r="B21" s="60" t="s">
        <v>70</v>
      </c>
      <c r="C21" s="61"/>
      <c r="E21" s="48">
        <v>0</v>
      </c>
    </row>
    <row r="22" spans="2:5" ht="12.75">
      <c r="B22" s="29" t="s">
        <v>72</v>
      </c>
      <c r="C22" s="19"/>
      <c r="E22" s="48">
        <v>10314000</v>
      </c>
    </row>
    <row r="23" spans="2:5" ht="12.75">
      <c r="B23" s="29" t="s">
        <v>22</v>
      </c>
      <c r="C23" s="19"/>
      <c r="D23" s="40"/>
      <c r="E23" s="48">
        <v>0</v>
      </c>
    </row>
    <row r="24" spans="2:5" ht="12.75">
      <c r="B24" s="29" t="s">
        <v>21</v>
      </c>
      <c r="C24" s="19"/>
      <c r="E24" s="73">
        <v>0</v>
      </c>
    </row>
    <row r="25" spans="2:5" ht="13.5" thickBot="1">
      <c r="B25" s="41" t="s">
        <v>0</v>
      </c>
      <c r="C25" s="42"/>
      <c r="D25" s="26"/>
      <c r="E25" s="75">
        <f>Cashflow!AD31</f>
        <v>304133697.99374664</v>
      </c>
    </row>
    <row r="26" spans="2:5" ht="13.5" thickTop="1">
      <c r="B26" s="29" t="s">
        <v>24</v>
      </c>
      <c r="C26" s="19"/>
      <c r="E26" s="48">
        <f>SUM(E16-E25)</f>
        <v>89476026.31367677</v>
      </c>
    </row>
    <row r="27" spans="2:5" ht="12.75">
      <c r="B27" s="29" t="s">
        <v>25</v>
      </c>
      <c r="C27" s="19"/>
      <c r="E27" s="73">
        <v>0</v>
      </c>
    </row>
    <row r="28" spans="2:5" ht="12.75">
      <c r="B28" s="41" t="s">
        <v>26</v>
      </c>
      <c r="C28" s="42"/>
      <c r="E28" s="48">
        <f>Cashflow!AD32</f>
        <v>89476026.31367673</v>
      </c>
    </row>
    <row r="29" spans="2:5" ht="12.75">
      <c r="B29" s="29" t="s">
        <v>23</v>
      </c>
      <c r="C29" s="19"/>
      <c r="E29" s="73">
        <f>Cashflow!AD29</f>
        <v>11808291.729222704</v>
      </c>
    </row>
    <row r="30" spans="2:3" ht="12.75">
      <c r="B30" s="29"/>
      <c r="C30" s="19"/>
    </row>
    <row r="31" spans="2:5" ht="12.75">
      <c r="B31" s="29"/>
      <c r="C31" s="19"/>
      <c r="E31" s="47"/>
    </row>
    <row r="32" spans="2:5" ht="12.75">
      <c r="B32" s="19"/>
      <c r="C32" s="29"/>
      <c r="E32" s="76"/>
    </row>
    <row r="33" spans="2:3" ht="12.75">
      <c r="B33" s="29"/>
      <c r="C33" s="4"/>
    </row>
    <row r="34" spans="2:5" ht="12.75">
      <c r="B34" s="29"/>
      <c r="E34" s="38"/>
    </row>
    <row r="59" ht="12.75">
      <c r="B59" s="3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3" sqref="A13"/>
    </sheetView>
  </sheetViews>
  <sheetFormatPr defaultColWidth="9.140625" defaultRowHeight="12.75"/>
  <cols>
    <col min="1" max="1" width="18.28125" style="0" customWidth="1"/>
  </cols>
  <sheetData>
    <row r="2" ht="12.75">
      <c r="B2" t="s">
        <v>55</v>
      </c>
    </row>
    <row r="5" spans="2:26" ht="12.75"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</row>
    <row r="7" spans="1:26" ht="12.75">
      <c r="A7" t="s">
        <v>27</v>
      </c>
      <c r="B7" t="e">
        <f>-Cashflow!#REF!</f>
        <v>#REF!</v>
      </c>
      <c r="C7">
        <f>-Cashflow!E34</f>
        <v>0</v>
      </c>
      <c r="D7">
        <f>-Cashflow!F34</f>
        <v>0</v>
      </c>
      <c r="E7">
        <f>-Cashflow!G34</f>
        <v>0</v>
      </c>
      <c r="F7" s="38" t="e">
        <f>+Cashflow!#REF!</f>
        <v>#REF!</v>
      </c>
      <c r="G7" s="38" t="e">
        <f>+Cashflow!#REF!</f>
        <v>#REF!</v>
      </c>
      <c r="H7" s="38" t="e">
        <f>+Cashflow!#REF!</f>
        <v>#REF!</v>
      </c>
      <c r="I7" s="38" t="e">
        <f>+Cashflow!#REF!</f>
        <v>#REF!</v>
      </c>
      <c r="J7" s="38" t="e">
        <f>+Cashflow!#REF!</f>
        <v>#REF!</v>
      </c>
      <c r="K7" s="38" t="e">
        <f>+Cashflow!#REF!</f>
        <v>#REF!</v>
      </c>
      <c r="L7" s="38" t="e">
        <f>+Cashflow!#REF!</f>
        <v>#REF!</v>
      </c>
      <c r="M7" s="38" t="e">
        <f>+Cashflow!#REF!</f>
        <v>#REF!</v>
      </c>
      <c r="N7" s="38" t="e">
        <f>+Cashflow!#REF!</f>
        <v>#REF!</v>
      </c>
      <c r="O7" s="38" t="e">
        <f>+Cashflow!#REF!</f>
        <v>#REF!</v>
      </c>
      <c r="P7" s="38" t="e">
        <f>+Cashflow!#REF!</f>
        <v>#REF!</v>
      </c>
      <c r="Q7" s="38" t="e">
        <f>+Cashflow!#REF!</f>
        <v>#REF!</v>
      </c>
      <c r="R7" s="38" t="e">
        <f>+Cashflow!#REF!</f>
        <v>#REF!</v>
      </c>
      <c r="S7" s="38" t="e">
        <f>+Cashflow!#REF!</f>
        <v>#REF!</v>
      </c>
      <c r="T7" s="38" t="e">
        <f>+Cashflow!#REF!</f>
        <v>#REF!</v>
      </c>
      <c r="U7" s="38" t="e">
        <f>+Cashflow!#REF!</f>
        <v>#REF!</v>
      </c>
      <c r="V7" s="38" t="e">
        <f>+Cashflow!#REF!</f>
        <v>#REF!</v>
      </c>
      <c r="W7" s="38" t="e">
        <f>+Cashflow!#REF!</f>
        <v>#REF!</v>
      </c>
      <c r="X7" s="38" t="e">
        <f>+Cashflow!#REF!</f>
        <v>#REF!</v>
      </c>
      <c r="Y7" s="38" t="e">
        <f>+Cashflow!#REF!</f>
        <v>#REF!</v>
      </c>
      <c r="Z7" s="38" t="e">
        <f>+Cashflow!#REF!</f>
        <v>#REF!</v>
      </c>
    </row>
    <row r="10" spans="1:2" ht="12.75">
      <c r="A10" t="s">
        <v>53</v>
      </c>
      <c r="B10" s="39" t="e">
        <f>IRR(B7:Z7,0.1)</f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85"/>
  <sheetViews>
    <sheetView showGridLines="0" tabSelected="1" workbookViewId="0" topLeftCell="A1">
      <selection activeCell="A10" sqref="A10"/>
    </sheetView>
  </sheetViews>
  <sheetFormatPr defaultColWidth="10.7109375" defaultRowHeight="12.75"/>
  <cols>
    <col min="1" max="1" width="4.140625" style="19" customWidth="1"/>
    <col min="2" max="2" width="13.00390625" style="19" customWidth="1"/>
    <col min="3" max="3" width="8.00390625" style="19" customWidth="1"/>
    <col min="4" max="4" width="0" style="19" hidden="1" customWidth="1"/>
    <col min="5" max="5" width="8.7109375" style="19" customWidth="1"/>
    <col min="6" max="6" width="8.8515625" style="45" customWidth="1"/>
    <col min="7" max="7" width="8.421875" style="45" customWidth="1"/>
    <col min="8" max="8" width="8.421875" style="19" customWidth="1"/>
    <col min="9" max="9" width="8.57421875" style="19" customWidth="1"/>
    <col min="10" max="10" width="9.140625" style="19" customWidth="1"/>
    <col min="11" max="11" width="8.57421875" style="19" customWidth="1"/>
    <col min="12" max="12" width="9.00390625" style="19" customWidth="1"/>
    <col min="13" max="14" width="8.57421875" style="19" customWidth="1"/>
    <col min="15" max="17" width="8.421875" style="19" customWidth="1"/>
    <col min="18" max="18" width="8.7109375" style="19" bestFit="1" customWidth="1"/>
    <col min="19" max="25" width="8.421875" style="19" customWidth="1"/>
    <col min="26" max="26" width="9.57421875" style="19" customWidth="1"/>
    <col min="27" max="28" width="9.421875" style="19" customWidth="1"/>
    <col min="29" max="29" width="9.28125" style="19" customWidth="1"/>
    <col min="30" max="30" width="11.57421875" style="19" customWidth="1"/>
    <col min="31" max="31" width="11.28125" style="19" customWidth="1"/>
    <col min="32" max="16384" width="10.7109375" style="19" customWidth="1"/>
  </cols>
  <sheetData>
    <row r="1" spans="1:6" ht="15.75">
      <c r="A1" s="121" t="s">
        <v>123</v>
      </c>
      <c r="B1" s="122"/>
      <c r="C1" s="122"/>
      <c r="D1" s="122"/>
      <c r="E1" s="122"/>
      <c r="F1" s="123"/>
    </row>
    <row r="2" spans="1:7" ht="15.75">
      <c r="A2" s="124" t="s">
        <v>113</v>
      </c>
      <c r="B2" s="122"/>
      <c r="C2" s="122"/>
      <c r="D2" s="122"/>
      <c r="E2" s="122"/>
      <c r="F2" s="122"/>
      <c r="G2" s="19"/>
    </row>
    <row r="3" spans="4:32" ht="10.5">
      <c r="D3" s="29" t="s">
        <v>12</v>
      </c>
      <c r="E3" s="83" t="s">
        <v>73</v>
      </c>
      <c r="F3" s="83" t="s">
        <v>74</v>
      </c>
      <c r="G3" s="83" t="s">
        <v>75</v>
      </c>
      <c r="H3" s="83" t="s">
        <v>76</v>
      </c>
      <c r="I3" s="83" t="s">
        <v>77</v>
      </c>
      <c r="J3" s="83" t="s">
        <v>78</v>
      </c>
      <c r="K3" s="83" t="s">
        <v>79</v>
      </c>
      <c r="L3" s="83" t="s">
        <v>80</v>
      </c>
      <c r="M3" s="83" t="s">
        <v>81</v>
      </c>
      <c r="N3" s="83" t="s">
        <v>82</v>
      </c>
      <c r="O3" s="83" t="s">
        <v>83</v>
      </c>
      <c r="P3" s="83" t="s">
        <v>84</v>
      </c>
      <c r="Q3" s="83" t="s">
        <v>85</v>
      </c>
      <c r="R3" s="83" t="s">
        <v>86</v>
      </c>
      <c r="S3" s="83" t="s">
        <v>87</v>
      </c>
      <c r="T3" s="83" t="s">
        <v>88</v>
      </c>
      <c r="U3" s="83" t="s">
        <v>89</v>
      </c>
      <c r="V3" s="83" t="s">
        <v>90</v>
      </c>
      <c r="W3" s="83" t="s">
        <v>91</v>
      </c>
      <c r="X3" s="83" t="s">
        <v>92</v>
      </c>
      <c r="Y3" s="83" t="s">
        <v>93</v>
      </c>
      <c r="Z3" s="83" t="s">
        <v>94</v>
      </c>
      <c r="AA3" s="83" t="s">
        <v>95</v>
      </c>
      <c r="AB3" s="83" t="s">
        <v>96</v>
      </c>
      <c r="AC3" s="83" t="s">
        <v>97</v>
      </c>
      <c r="AD3" s="114" t="s">
        <v>13</v>
      </c>
      <c r="AE3" s="195" t="s">
        <v>14</v>
      </c>
      <c r="AF3" s="196"/>
    </row>
    <row r="4" ht="10.5">
      <c r="AE4" s="36"/>
    </row>
    <row r="5" spans="1:31" ht="10.5">
      <c r="A5" s="28" t="s">
        <v>57</v>
      </c>
      <c r="E5" s="84">
        <v>1.5</v>
      </c>
      <c r="F5" s="84">
        <f aca="true" t="shared" si="0" ref="F5:F20">SUM(E5*1.035)</f>
        <v>1.5524999999999998</v>
      </c>
      <c r="G5" s="84">
        <f aca="true" t="shared" si="1" ref="G5:AC5">SUM(F5*1.035)</f>
        <v>1.6068374999999997</v>
      </c>
      <c r="H5" s="84">
        <f t="shared" si="1"/>
        <v>1.6630768124999995</v>
      </c>
      <c r="I5" s="84">
        <f t="shared" si="1"/>
        <v>1.7212845009374993</v>
      </c>
      <c r="J5" s="84">
        <f t="shared" si="1"/>
        <v>1.7815294584703116</v>
      </c>
      <c r="K5" s="84">
        <f t="shared" si="1"/>
        <v>1.8438829895167723</v>
      </c>
      <c r="L5" s="84">
        <f t="shared" si="1"/>
        <v>1.9084188941498592</v>
      </c>
      <c r="M5" s="84">
        <f t="shared" si="1"/>
        <v>1.9752135554451042</v>
      </c>
      <c r="N5" s="84">
        <f t="shared" si="1"/>
        <v>2.044346029885683</v>
      </c>
      <c r="O5" s="84">
        <f t="shared" si="1"/>
        <v>2.1158981409316815</v>
      </c>
      <c r="P5" s="84">
        <f t="shared" si="1"/>
        <v>2.18995457586429</v>
      </c>
      <c r="Q5" s="84">
        <f t="shared" si="1"/>
        <v>2.26660298601954</v>
      </c>
      <c r="R5" s="84">
        <f t="shared" si="1"/>
        <v>2.345934090530224</v>
      </c>
      <c r="S5" s="84">
        <f t="shared" si="1"/>
        <v>2.4280417836987818</v>
      </c>
      <c r="T5" s="84">
        <f t="shared" si="1"/>
        <v>2.513023246128239</v>
      </c>
      <c r="U5" s="84">
        <f t="shared" si="1"/>
        <v>2.6009790597427274</v>
      </c>
      <c r="V5" s="84">
        <f t="shared" si="1"/>
        <v>2.6920133268337225</v>
      </c>
      <c r="W5" s="84">
        <f t="shared" si="1"/>
        <v>2.7862337932729027</v>
      </c>
      <c r="X5" s="84">
        <f t="shared" si="1"/>
        <v>2.883751976037454</v>
      </c>
      <c r="Y5" s="84">
        <f t="shared" si="1"/>
        <v>2.984683295198765</v>
      </c>
      <c r="Z5" s="84">
        <f t="shared" si="1"/>
        <v>3.0891472105307214</v>
      </c>
      <c r="AA5" s="84">
        <f t="shared" si="1"/>
        <v>3.1972673628992965</v>
      </c>
      <c r="AB5" s="84">
        <f t="shared" si="1"/>
        <v>3.3091717206007716</v>
      </c>
      <c r="AC5" s="84">
        <f t="shared" si="1"/>
        <v>3.4249927308217982</v>
      </c>
      <c r="AD5" s="52"/>
      <c r="AE5" s="28" t="s">
        <v>57</v>
      </c>
    </row>
    <row r="6" spans="1:31" ht="10.5">
      <c r="A6" s="19" t="s">
        <v>66</v>
      </c>
      <c r="E6" s="141">
        <v>2600</v>
      </c>
      <c r="F6" s="85">
        <f t="shared" si="0"/>
        <v>2691</v>
      </c>
      <c r="G6" s="85">
        <f aca="true" t="shared" si="2" ref="G6:AC6">SUM(F6*1.05)</f>
        <v>2825.55</v>
      </c>
      <c r="H6" s="85">
        <f t="shared" si="2"/>
        <v>2966.8275000000003</v>
      </c>
      <c r="I6" s="85">
        <f t="shared" si="2"/>
        <v>3115.1688750000003</v>
      </c>
      <c r="J6" s="85">
        <f t="shared" si="2"/>
        <v>3270.9273187500003</v>
      </c>
      <c r="K6" s="85">
        <f t="shared" si="2"/>
        <v>3434.4736846875003</v>
      </c>
      <c r="L6" s="85">
        <f t="shared" si="2"/>
        <v>3606.1973689218753</v>
      </c>
      <c r="M6" s="85">
        <f t="shared" si="2"/>
        <v>3786.507237367969</v>
      </c>
      <c r="N6" s="85">
        <f t="shared" si="2"/>
        <v>3975.8325992363675</v>
      </c>
      <c r="O6" s="85">
        <f t="shared" si="2"/>
        <v>4174.624229198186</v>
      </c>
      <c r="P6" s="85">
        <f t="shared" si="2"/>
        <v>4383.355440658096</v>
      </c>
      <c r="Q6" s="85">
        <f t="shared" si="2"/>
        <v>4602.523212691001</v>
      </c>
      <c r="R6" s="85">
        <f t="shared" si="2"/>
        <v>4832.649373325552</v>
      </c>
      <c r="S6" s="85">
        <f t="shared" si="2"/>
        <v>5074.281841991829</v>
      </c>
      <c r="T6" s="85">
        <f t="shared" si="2"/>
        <v>5327.995934091421</v>
      </c>
      <c r="U6" s="85">
        <f t="shared" si="2"/>
        <v>5594.395730795993</v>
      </c>
      <c r="V6" s="85">
        <f t="shared" si="2"/>
        <v>5874.115517335793</v>
      </c>
      <c r="W6" s="85">
        <f t="shared" si="2"/>
        <v>6167.821293202583</v>
      </c>
      <c r="X6" s="85">
        <f t="shared" si="2"/>
        <v>6476.212357862712</v>
      </c>
      <c r="Y6" s="85">
        <f t="shared" si="2"/>
        <v>6800.022975755848</v>
      </c>
      <c r="Z6" s="85">
        <f t="shared" si="2"/>
        <v>7140.024124543641</v>
      </c>
      <c r="AA6" s="85">
        <f t="shared" si="2"/>
        <v>7497.0253307708235</v>
      </c>
      <c r="AB6" s="85">
        <f t="shared" si="2"/>
        <v>7871.876597309365</v>
      </c>
      <c r="AC6" s="85">
        <f t="shared" si="2"/>
        <v>8265.470427174834</v>
      </c>
      <c r="AD6" s="52"/>
      <c r="AE6" s="19" t="s">
        <v>66</v>
      </c>
    </row>
    <row r="7" spans="1:30" s="130" customFormat="1" ht="10.5">
      <c r="A7" s="130" t="s">
        <v>138</v>
      </c>
      <c r="E7" s="129">
        <f>SUM(E6*1.75)</f>
        <v>4550</v>
      </c>
      <c r="F7" s="129">
        <f t="shared" si="0"/>
        <v>4709.25</v>
      </c>
      <c r="G7" s="129">
        <f aca="true" t="shared" si="3" ref="G7:AC7">SUM(F7*1.035)</f>
        <v>4874.07375</v>
      </c>
      <c r="H7" s="129">
        <f t="shared" si="3"/>
        <v>5044.6663312499995</v>
      </c>
      <c r="I7" s="129">
        <f t="shared" si="3"/>
        <v>5221.229652843749</v>
      </c>
      <c r="J7" s="129">
        <f t="shared" si="3"/>
        <v>5403.97269069328</v>
      </c>
      <c r="K7" s="129">
        <f t="shared" si="3"/>
        <v>5593.111734867544</v>
      </c>
      <c r="L7" s="129">
        <f t="shared" si="3"/>
        <v>5788.870645587908</v>
      </c>
      <c r="M7" s="129">
        <f t="shared" si="3"/>
        <v>5991.481118183485</v>
      </c>
      <c r="N7" s="129">
        <f t="shared" si="3"/>
        <v>6201.182957319907</v>
      </c>
      <c r="O7" s="129">
        <f t="shared" si="3"/>
        <v>6418.224360826102</v>
      </c>
      <c r="P7" s="129">
        <f t="shared" si="3"/>
        <v>6642.862213455015</v>
      </c>
      <c r="Q7" s="129">
        <f t="shared" si="3"/>
        <v>6875.36239092594</v>
      </c>
      <c r="R7" s="129">
        <f t="shared" si="3"/>
        <v>7116.000074608348</v>
      </c>
      <c r="S7" s="129">
        <f t="shared" si="3"/>
        <v>7365.060077219639</v>
      </c>
      <c r="T7" s="129">
        <f t="shared" si="3"/>
        <v>7622.837179922326</v>
      </c>
      <c r="U7" s="129">
        <f t="shared" si="3"/>
        <v>7889.636481219607</v>
      </c>
      <c r="V7" s="129">
        <f t="shared" si="3"/>
        <v>8165.7737580622925</v>
      </c>
      <c r="W7" s="129">
        <f t="shared" si="3"/>
        <v>8451.575839594472</v>
      </c>
      <c r="X7" s="129">
        <f t="shared" si="3"/>
        <v>8747.380993980278</v>
      </c>
      <c r="Y7" s="129">
        <f t="shared" si="3"/>
        <v>9053.539328769586</v>
      </c>
      <c r="Z7" s="129">
        <f t="shared" si="3"/>
        <v>9370.413205276522</v>
      </c>
      <c r="AA7" s="129">
        <f t="shared" si="3"/>
        <v>9698.3776674612</v>
      </c>
      <c r="AB7" s="129">
        <f t="shared" si="3"/>
        <v>10037.82088582234</v>
      </c>
      <c r="AC7" s="129">
        <f t="shared" si="3"/>
        <v>10389.144616826121</v>
      </c>
      <c r="AD7" s="132"/>
    </row>
    <row r="8" spans="1:31" ht="10.5">
      <c r="A8" s="19" t="s">
        <v>60</v>
      </c>
      <c r="E8" s="111">
        <v>4500</v>
      </c>
      <c r="F8" s="86">
        <f t="shared" si="0"/>
        <v>4657.5</v>
      </c>
      <c r="G8" s="86">
        <f aca="true" t="shared" si="4" ref="G8:AC8">SUM(F8*1.05)</f>
        <v>4890.375</v>
      </c>
      <c r="H8" s="86">
        <f t="shared" si="4"/>
        <v>5134.89375</v>
      </c>
      <c r="I8" s="86">
        <f t="shared" si="4"/>
        <v>5391.638437500001</v>
      </c>
      <c r="J8" s="86">
        <f t="shared" si="4"/>
        <v>5661.220359375001</v>
      </c>
      <c r="K8" s="86">
        <f t="shared" si="4"/>
        <v>5944.281377343751</v>
      </c>
      <c r="L8" s="86">
        <f t="shared" si="4"/>
        <v>6241.495446210939</v>
      </c>
      <c r="M8" s="86">
        <f t="shared" si="4"/>
        <v>6553.570218521486</v>
      </c>
      <c r="N8" s="86">
        <f t="shared" si="4"/>
        <v>6881.24872944756</v>
      </c>
      <c r="O8" s="86">
        <f t="shared" si="4"/>
        <v>7225.3111659199385</v>
      </c>
      <c r="P8" s="86">
        <f t="shared" si="4"/>
        <v>7586.576724215935</v>
      </c>
      <c r="Q8" s="86">
        <f t="shared" si="4"/>
        <v>7965.905560426732</v>
      </c>
      <c r="R8" s="86">
        <f t="shared" si="4"/>
        <v>8364.200838448069</v>
      </c>
      <c r="S8" s="86">
        <f t="shared" si="4"/>
        <v>8782.410880370473</v>
      </c>
      <c r="T8" s="86">
        <f t="shared" si="4"/>
        <v>9221.531424388997</v>
      </c>
      <c r="U8" s="86">
        <f t="shared" si="4"/>
        <v>9682.607995608447</v>
      </c>
      <c r="V8" s="86">
        <f t="shared" si="4"/>
        <v>10166.73839538887</v>
      </c>
      <c r="W8" s="86">
        <f t="shared" si="4"/>
        <v>10675.075315158314</v>
      </c>
      <c r="X8" s="86">
        <f t="shared" si="4"/>
        <v>11208.82908091623</v>
      </c>
      <c r="Y8" s="86">
        <f t="shared" si="4"/>
        <v>11769.270534962043</v>
      </c>
      <c r="Z8" s="86">
        <f t="shared" si="4"/>
        <v>12357.734061710145</v>
      </c>
      <c r="AA8" s="86">
        <f t="shared" si="4"/>
        <v>12975.620764795653</v>
      </c>
      <c r="AB8" s="86">
        <f t="shared" si="4"/>
        <v>13624.401803035436</v>
      </c>
      <c r="AC8" s="86">
        <f t="shared" si="4"/>
        <v>14305.621893187208</v>
      </c>
      <c r="AD8" s="52"/>
      <c r="AE8" s="19" t="s">
        <v>60</v>
      </c>
    </row>
    <row r="9" spans="1:30" s="130" customFormat="1" ht="10.5">
      <c r="A9" s="130" t="s">
        <v>128</v>
      </c>
      <c r="E9" s="130">
        <f>SUM(E8*1)</f>
        <v>4500</v>
      </c>
      <c r="F9" s="130">
        <f t="shared" si="0"/>
        <v>4657.5</v>
      </c>
      <c r="G9" s="130">
        <f aca="true" t="shared" si="5" ref="G9:AC9">SUM(F9*1.035)</f>
        <v>4820.5125</v>
      </c>
      <c r="H9" s="130">
        <f t="shared" si="5"/>
        <v>4989.230437499999</v>
      </c>
      <c r="I9" s="130">
        <f t="shared" si="5"/>
        <v>5163.853502812499</v>
      </c>
      <c r="J9" s="130">
        <f t="shared" si="5"/>
        <v>5344.588375410935</v>
      </c>
      <c r="K9" s="130">
        <f t="shared" si="5"/>
        <v>5531.6489685503175</v>
      </c>
      <c r="L9" s="130">
        <f t="shared" si="5"/>
        <v>5725.256682449578</v>
      </c>
      <c r="M9" s="130">
        <f t="shared" si="5"/>
        <v>5925.640666335313</v>
      </c>
      <c r="N9" s="130">
        <f t="shared" si="5"/>
        <v>6133.038089657049</v>
      </c>
      <c r="O9" s="130">
        <f t="shared" si="5"/>
        <v>6347.694422795045</v>
      </c>
      <c r="P9" s="130">
        <f t="shared" si="5"/>
        <v>6569.863727592871</v>
      </c>
      <c r="Q9" s="130">
        <f t="shared" si="5"/>
        <v>6799.808958058621</v>
      </c>
      <c r="R9" s="130">
        <f t="shared" si="5"/>
        <v>7037.802271590673</v>
      </c>
      <c r="S9" s="130">
        <f t="shared" si="5"/>
        <v>7284.125351096346</v>
      </c>
      <c r="T9" s="130">
        <f t="shared" si="5"/>
        <v>7539.069738384717</v>
      </c>
      <c r="U9" s="130">
        <f t="shared" si="5"/>
        <v>7802.937179228182</v>
      </c>
      <c r="V9" s="130">
        <f t="shared" si="5"/>
        <v>8076.0399805011675</v>
      </c>
      <c r="W9" s="130">
        <f t="shared" si="5"/>
        <v>8358.701379818707</v>
      </c>
      <c r="X9" s="130">
        <f t="shared" si="5"/>
        <v>8651.255928112361</v>
      </c>
      <c r="Y9" s="130">
        <f t="shared" si="5"/>
        <v>8954.049885596292</v>
      </c>
      <c r="Z9" s="130">
        <f t="shared" si="5"/>
        <v>9267.441631592163</v>
      </c>
      <c r="AA9" s="130">
        <f t="shared" si="5"/>
        <v>9591.802088697888</v>
      </c>
      <c r="AB9" s="130">
        <f t="shared" si="5"/>
        <v>9927.515161802314</v>
      </c>
      <c r="AC9" s="130">
        <f t="shared" si="5"/>
        <v>10274.978192465394</v>
      </c>
      <c r="AD9" s="132"/>
    </row>
    <row r="10" spans="1:31" ht="10.5">
      <c r="A10" s="19" t="s">
        <v>139</v>
      </c>
      <c r="E10" s="54">
        <v>4500</v>
      </c>
      <c r="F10" s="65">
        <f t="shared" si="0"/>
        <v>4657.5</v>
      </c>
      <c r="G10" s="65">
        <f>SUM(F10*1.05)</f>
        <v>4890.375</v>
      </c>
      <c r="H10" s="65">
        <f>SUM(G10*1.05)</f>
        <v>5134.89375</v>
      </c>
      <c r="I10" s="65">
        <f>SUM(H10*1.05)</f>
        <v>5391.638437500001</v>
      </c>
      <c r="J10" s="65">
        <f aca="true" t="shared" si="6" ref="J10:AC10">SUM(I10*1.05)</f>
        <v>5661.220359375001</v>
      </c>
      <c r="K10" s="65">
        <f t="shared" si="6"/>
        <v>5944.281377343751</v>
      </c>
      <c r="L10" s="65">
        <f t="shared" si="6"/>
        <v>6241.495446210939</v>
      </c>
      <c r="M10" s="65">
        <f t="shared" si="6"/>
        <v>6553.570218521486</v>
      </c>
      <c r="N10" s="65">
        <f t="shared" si="6"/>
        <v>6881.24872944756</v>
      </c>
      <c r="O10" s="65">
        <f t="shared" si="6"/>
        <v>7225.3111659199385</v>
      </c>
      <c r="P10" s="65">
        <f t="shared" si="6"/>
        <v>7586.576724215935</v>
      </c>
      <c r="Q10" s="65">
        <f t="shared" si="6"/>
        <v>7965.905560426732</v>
      </c>
      <c r="R10" s="65">
        <f t="shared" si="6"/>
        <v>8364.200838448069</v>
      </c>
      <c r="S10" s="65">
        <f t="shared" si="6"/>
        <v>8782.410880370473</v>
      </c>
      <c r="T10" s="65">
        <f t="shared" si="6"/>
        <v>9221.531424388997</v>
      </c>
      <c r="U10" s="65">
        <f t="shared" si="6"/>
        <v>9682.607995608447</v>
      </c>
      <c r="V10" s="65">
        <f t="shared" si="6"/>
        <v>10166.73839538887</v>
      </c>
      <c r="W10" s="65">
        <f t="shared" si="6"/>
        <v>10675.075315158314</v>
      </c>
      <c r="X10" s="65">
        <f t="shared" si="6"/>
        <v>11208.82908091623</v>
      </c>
      <c r="Y10" s="65">
        <f t="shared" si="6"/>
        <v>11769.270534962043</v>
      </c>
      <c r="Z10" s="65">
        <f t="shared" si="6"/>
        <v>12357.734061710145</v>
      </c>
      <c r="AA10" s="65">
        <f t="shared" si="6"/>
        <v>12975.620764795653</v>
      </c>
      <c r="AB10" s="65">
        <f t="shared" si="6"/>
        <v>13624.401803035436</v>
      </c>
      <c r="AC10" s="65">
        <f t="shared" si="6"/>
        <v>14305.621893187208</v>
      </c>
      <c r="AD10" s="51"/>
      <c r="AE10" s="19" t="s">
        <v>61</v>
      </c>
    </row>
    <row r="11" spans="1:30" s="130" customFormat="1" ht="10.5">
      <c r="A11" s="130" t="s">
        <v>128</v>
      </c>
      <c r="E11" s="131">
        <f>SUM(E10*1)</f>
        <v>4500</v>
      </c>
      <c r="F11" s="131">
        <f t="shared" si="0"/>
        <v>4657.5</v>
      </c>
      <c r="G11" s="131">
        <f aca="true" t="shared" si="7" ref="G11:AC11">SUM(F11*1.035)</f>
        <v>4820.5125</v>
      </c>
      <c r="H11" s="131">
        <f t="shared" si="7"/>
        <v>4989.230437499999</v>
      </c>
      <c r="I11" s="131">
        <f t="shared" si="7"/>
        <v>5163.853502812499</v>
      </c>
      <c r="J11" s="131">
        <f t="shared" si="7"/>
        <v>5344.588375410935</v>
      </c>
      <c r="K11" s="131">
        <f t="shared" si="7"/>
        <v>5531.6489685503175</v>
      </c>
      <c r="L11" s="131">
        <f t="shared" si="7"/>
        <v>5725.256682449578</v>
      </c>
      <c r="M11" s="131">
        <f t="shared" si="7"/>
        <v>5925.640666335313</v>
      </c>
      <c r="N11" s="131">
        <f t="shared" si="7"/>
        <v>6133.038089657049</v>
      </c>
      <c r="O11" s="131">
        <f t="shared" si="7"/>
        <v>6347.694422795045</v>
      </c>
      <c r="P11" s="131">
        <f t="shared" si="7"/>
        <v>6569.863727592871</v>
      </c>
      <c r="Q11" s="131">
        <f t="shared" si="7"/>
        <v>6799.808958058621</v>
      </c>
      <c r="R11" s="131">
        <f t="shared" si="7"/>
        <v>7037.802271590673</v>
      </c>
      <c r="S11" s="131">
        <f t="shared" si="7"/>
        <v>7284.125351096346</v>
      </c>
      <c r="T11" s="131">
        <f t="shared" si="7"/>
        <v>7539.069738384717</v>
      </c>
      <c r="U11" s="131">
        <f t="shared" si="7"/>
        <v>7802.937179228182</v>
      </c>
      <c r="V11" s="131">
        <f t="shared" si="7"/>
        <v>8076.0399805011675</v>
      </c>
      <c r="W11" s="131">
        <f t="shared" si="7"/>
        <v>8358.701379818707</v>
      </c>
      <c r="X11" s="131">
        <f t="shared" si="7"/>
        <v>8651.255928112361</v>
      </c>
      <c r="Y11" s="131">
        <f t="shared" si="7"/>
        <v>8954.049885596292</v>
      </c>
      <c r="Z11" s="131">
        <f t="shared" si="7"/>
        <v>9267.441631592163</v>
      </c>
      <c r="AA11" s="131">
        <f t="shared" si="7"/>
        <v>9591.802088697888</v>
      </c>
      <c r="AB11" s="131">
        <f t="shared" si="7"/>
        <v>9927.515161802314</v>
      </c>
      <c r="AC11" s="131">
        <f t="shared" si="7"/>
        <v>10274.978192465394</v>
      </c>
      <c r="AD11" s="133"/>
    </row>
    <row r="12" spans="1:31" ht="10.5">
      <c r="A12" s="19" t="s">
        <v>58</v>
      </c>
      <c r="D12" s="29" t="s">
        <v>15</v>
      </c>
      <c r="E12" s="141">
        <v>1500</v>
      </c>
      <c r="F12" s="49">
        <f t="shared" si="0"/>
        <v>1552.4999999999998</v>
      </c>
      <c r="G12" s="49">
        <f aca="true" t="shared" si="8" ref="G12:AC12">SUM(F12*1.06)</f>
        <v>1645.6499999999999</v>
      </c>
      <c r="H12" s="49">
        <f t="shared" si="8"/>
        <v>1744.389</v>
      </c>
      <c r="I12" s="49">
        <f t="shared" si="8"/>
        <v>1849.05234</v>
      </c>
      <c r="J12" s="49">
        <f t="shared" si="8"/>
        <v>1959.9954804000001</v>
      </c>
      <c r="K12" s="49">
        <f t="shared" si="8"/>
        <v>2077.5952092240004</v>
      </c>
      <c r="L12" s="49">
        <f t="shared" si="8"/>
        <v>2202.2509217774405</v>
      </c>
      <c r="M12" s="49">
        <f t="shared" si="8"/>
        <v>2334.385977084087</v>
      </c>
      <c r="N12" s="49">
        <f t="shared" si="8"/>
        <v>2474.449135709132</v>
      </c>
      <c r="O12" s="49">
        <f t="shared" si="8"/>
        <v>2622.91608385168</v>
      </c>
      <c r="P12" s="49">
        <f t="shared" si="8"/>
        <v>2780.291048882781</v>
      </c>
      <c r="Q12" s="49">
        <f t="shared" si="8"/>
        <v>2947.108511815748</v>
      </c>
      <c r="R12" s="49">
        <f t="shared" si="8"/>
        <v>3123.935022524693</v>
      </c>
      <c r="S12" s="49">
        <f t="shared" si="8"/>
        <v>3311.371123876175</v>
      </c>
      <c r="T12" s="49">
        <f t="shared" si="8"/>
        <v>3510.0533913087456</v>
      </c>
      <c r="U12" s="49">
        <f t="shared" si="8"/>
        <v>3720.6565947872705</v>
      </c>
      <c r="V12" s="49">
        <f t="shared" si="8"/>
        <v>3943.895990474507</v>
      </c>
      <c r="W12" s="49">
        <f t="shared" si="8"/>
        <v>4180.5297499029775</v>
      </c>
      <c r="X12" s="49">
        <f t="shared" si="8"/>
        <v>4431.361534897156</v>
      </c>
      <c r="Y12" s="49">
        <f t="shared" si="8"/>
        <v>4697.243226990986</v>
      </c>
      <c r="Z12" s="49">
        <f t="shared" si="8"/>
        <v>4979.077820610445</v>
      </c>
      <c r="AA12" s="49">
        <f t="shared" si="8"/>
        <v>5277.822489847072</v>
      </c>
      <c r="AB12" s="49">
        <f t="shared" si="8"/>
        <v>5594.491839237896</v>
      </c>
      <c r="AC12" s="49">
        <f t="shared" si="8"/>
        <v>5930.16134959217</v>
      </c>
      <c r="AD12" s="51"/>
      <c r="AE12" s="19" t="s">
        <v>58</v>
      </c>
    </row>
    <row r="13" spans="1:30" s="130" customFormat="1" ht="10.5">
      <c r="A13" s="130" t="s">
        <v>135</v>
      </c>
      <c r="D13" s="134"/>
      <c r="E13" s="129">
        <f>SUM(E12*3)</f>
        <v>4500</v>
      </c>
      <c r="F13" s="135">
        <f t="shared" si="0"/>
        <v>4657.5</v>
      </c>
      <c r="G13" s="135">
        <f aca="true" t="shared" si="9" ref="G13:AC13">SUM(F13*1.035)</f>
        <v>4820.5125</v>
      </c>
      <c r="H13" s="135">
        <f t="shared" si="9"/>
        <v>4989.230437499999</v>
      </c>
      <c r="I13" s="135">
        <f t="shared" si="9"/>
        <v>5163.853502812499</v>
      </c>
      <c r="J13" s="135">
        <f t="shared" si="9"/>
        <v>5344.588375410935</v>
      </c>
      <c r="K13" s="135">
        <f t="shared" si="9"/>
        <v>5531.6489685503175</v>
      </c>
      <c r="L13" s="135">
        <f t="shared" si="9"/>
        <v>5725.256682449578</v>
      </c>
      <c r="M13" s="135">
        <f t="shared" si="9"/>
        <v>5925.640666335313</v>
      </c>
      <c r="N13" s="135">
        <f t="shared" si="9"/>
        <v>6133.038089657049</v>
      </c>
      <c r="O13" s="135">
        <f t="shared" si="9"/>
        <v>6347.694422795045</v>
      </c>
      <c r="P13" s="135">
        <f t="shared" si="9"/>
        <v>6569.863727592871</v>
      </c>
      <c r="Q13" s="135">
        <f t="shared" si="9"/>
        <v>6799.808958058621</v>
      </c>
      <c r="R13" s="135">
        <f t="shared" si="9"/>
        <v>7037.802271590673</v>
      </c>
      <c r="S13" s="135">
        <f t="shared" si="9"/>
        <v>7284.125351096346</v>
      </c>
      <c r="T13" s="135">
        <f t="shared" si="9"/>
        <v>7539.069738384717</v>
      </c>
      <c r="U13" s="135">
        <f t="shared" si="9"/>
        <v>7802.937179228182</v>
      </c>
      <c r="V13" s="135">
        <f t="shared" si="9"/>
        <v>8076.0399805011675</v>
      </c>
      <c r="W13" s="135">
        <f t="shared" si="9"/>
        <v>8358.701379818707</v>
      </c>
      <c r="X13" s="135">
        <f t="shared" si="9"/>
        <v>8651.255928112361</v>
      </c>
      <c r="Y13" s="135">
        <f t="shared" si="9"/>
        <v>8954.049885596292</v>
      </c>
      <c r="Z13" s="135">
        <f t="shared" si="9"/>
        <v>9267.441631592163</v>
      </c>
      <c r="AA13" s="135">
        <f t="shared" si="9"/>
        <v>9591.802088697888</v>
      </c>
      <c r="AB13" s="135">
        <f t="shared" si="9"/>
        <v>9927.515161802314</v>
      </c>
      <c r="AC13" s="135">
        <f t="shared" si="9"/>
        <v>10274.978192465394</v>
      </c>
      <c r="AD13" s="133"/>
    </row>
    <row r="14" spans="1:31" ht="10.5">
      <c r="A14" s="19" t="s">
        <v>59</v>
      </c>
      <c r="D14" s="29"/>
      <c r="E14" s="141">
        <v>3250</v>
      </c>
      <c r="F14" s="85">
        <f t="shared" si="0"/>
        <v>3363.7499999999995</v>
      </c>
      <c r="G14" s="85">
        <f aca="true" t="shared" si="10" ref="G14:AC14">SUM(F14*1.05)</f>
        <v>3531.9374999999995</v>
      </c>
      <c r="H14" s="85">
        <f t="shared" si="10"/>
        <v>3708.5343749999997</v>
      </c>
      <c r="I14" s="85">
        <f t="shared" si="10"/>
        <v>3893.9610937499997</v>
      </c>
      <c r="J14" s="85">
        <f t="shared" si="10"/>
        <v>4088.6591484375</v>
      </c>
      <c r="K14" s="85">
        <f t="shared" si="10"/>
        <v>4293.092105859375</v>
      </c>
      <c r="L14" s="85">
        <f t="shared" si="10"/>
        <v>4507.746711152344</v>
      </c>
      <c r="M14" s="85">
        <f t="shared" si="10"/>
        <v>4733.134046709961</v>
      </c>
      <c r="N14" s="85">
        <f t="shared" si="10"/>
        <v>4969.790749045459</v>
      </c>
      <c r="O14" s="85">
        <f t="shared" si="10"/>
        <v>5218.280286497732</v>
      </c>
      <c r="P14" s="85">
        <f t="shared" si="10"/>
        <v>5479.194300822619</v>
      </c>
      <c r="Q14" s="85">
        <f t="shared" si="10"/>
        <v>5753.15401586375</v>
      </c>
      <c r="R14" s="85">
        <f t="shared" si="10"/>
        <v>6040.811716656937</v>
      </c>
      <c r="S14" s="85">
        <f t="shared" si="10"/>
        <v>6342.852302489784</v>
      </c>
      <c r="T14" s="85">
        <f t="shared" si="10"/>
        <v>6659.994917614274</v>
      </c>
      <c r="U14" s="85">
        <f t="shared" si="10"/>
        <v>6992.994663494987</v>
      </c>
      <c r="V14" s="85">
        <f t="shared" si="10"/>
        <v>7342.644396669737</v>
      </c>
      <c r="W14" s="85">
        <f t="shared" si="10"/>
        <v>7709.776616503224</v>
      </c>
      <c r="X14" s="85">
        <f t="shared" si="10"/>
        <v>8095.265447328386</v>
      </c>
      <c r="Y14" s="85">
        <f t="shared" si="10"/>
        <v>8500.028719694805</v>
      </c>
      <c r="Z14" s="85">
        <f t="shared" si="10"/>
        <v>8925.030155679546</v>
      </c>
      <c r="AA14" s="85">
        <f t="shared" si="10"/>
        <v>9371.281663463524</v>
      </c>
      <c r="AB14" s="85">
        <f t="shared" si="10"/>
        <v>9839.8457466367</v>
      </c>
      <c r="AC14" s="85">
        <f t="shared" si="10"/>
        <v>10331.838033968535</v>
      </c>
      <c r="AD14" s="53"/>
      <c r="AE14" s="19" t="s">
        <v>59</v>
      </c>
    </row>
    <row r="15" spans="1:30" s="130" customFormat="1" ht="10.5">
      <c r="A15" s="130" t="s">
        <v>137</v>
      </c>
      <c r="D15" s="134"/>
      <c r="E15" s="129">
        <f>SUM(E14*2.25)</f>
        <v>7312.5</v>
      </c>
      <c r="F15" s="129">
        <f t="shared" si="0"/>
        <v>7568.437499999999</v>
      </c>
      <c r="G15" s="129">
        <f aca="true" t="shared" si="11" ref="G15:AC15">SUM(F15*1.035)</f>
        <v>7833.332812499999</v>
      </c>
      <c r="H15" s="129">
        <f t="shared" si="11"/>
        <v>8107.499460937498</v>
      </c>
      <c r="I15" s="129">
        <f t="shared" si="11"/>
        <v>8391.26194207031</v>
      </c>
      <c r="J15" s="129">
        <f t="shared" si="11"/>
        <v>8684.95611004277</v>
      </c>
      <c r="K15" s="129">
        <f t="shared" si="11"/>
        <v>8988.929573894267</v>
      </c>
      <c r="L15" s="129">
        <f t="shared" si="11"/>
        <v>9303.542108980566</v>
      </c>
      <c r="M15" s="129">
        <f t="shared" si="11"/>
        <v>9629.166082794885</v>
      </c>
      <c r="N15" s="129">
        <f t="shared" si="11"/>
        <v>9966.186895692706</v>
      </c>
      <c r="O15" s="129">
        <f t="shared" si="11"/>
        <v>10315.00343704195</v>
      </c>
      <c r="P15" s="129">
        <f t="shared" si="11"/>
        <v>10676.028557338419</v>
      </c>
      <c r="Q15" s="129">
        <f t="shared" si="11"/>
        <v>11049.689556845262</v>
      </c>
      <c r="R15" s="129">
        <f t="shared" si="11"/>
        <v>11436.428691334846</v>
      </c>
      <c r="S15" s="129">
        <f t="shared" si="11"/>
        <v>11836.703695531565</v>
      </c>
      <c r="T15" s="129">
        <f t="shared" si="11"/>
        <v>12250.988324875168</v>
      </c>
      <c r="U15" s="129">
        <f t="shared" si="11"/>
        <v>12679.772916245798</v>
      </c>
      <c r="V15" s="129">
        <f t="shared" si="11"/>
        <v>13123.5649683144</v>
      </c>
      <c r="W15" s="129">
        <f t="shared" si="11"/>
        <v>13582.889742205403</v>
      </c>
      <c r="X15" s="129">
        <f t="shared" si="11"/>
        <v>14058.290883182592</v>
      </c>
      <c r="Y15" s="129">
        <f t="shared" si="11"/>
        <v>14550.331064093982</v>
      </c>
      <c r="Z15" s="129">
        <f t="shared" si="11"/>
        <v>15059.59265133727</v>
      </c>
      <c r="AA15" s="129">
        <f t="shared" si="11"/>
        <v>15586.678394134075</v>
      </c>
      <c r="AB15" s="129">
        <f t="shared" si="11"/>
        <v>16132.212137928766</v>
      </c>
      <c r="AC15" s="129">
        <f t="shared" si="11"/>
        <v>16696.83956275627</v>
      </c>
      <c r="AD15" s="136"/>
    </row>
    <row r="16" spans="1:31" s="130" customFormat="1" ht="10.5">
      <c r="A16" s="130" t="s">
        <v>131</v>
      </c>
      <c r="D16" s="134"/>
      <c r="E16" s="129">
        <v>750</v>
      </c>
      <c r="F16" s="135">
        <f t="shared" si="0"/>
        <v>776.2499999999999</v>
      </c>
      <c r="G16" s="135">
        <f aca="true" t="shared" si="12" ref="G16:AC16">SUM(F16*1.05)</f>
        <v>815.0624999999999</v>
      </c>
      <c r="H16" s="135">
        <f t="shared" si="12"/>
        <v>855.815625</v>
      </c>
      <c r="I16" s="135">
        <f t="shared" si="12"/>
        <v>898.60640625</v>
      </c>
      <c r="J16" s="135">
        <f t="shared" si="12"/>
        <v>943.5367265625</v>
      </c>
      <c r="K16" s="135">
        <f t="shared" si="12"/>
        <v>990.7135628906251</v>
      </c>
      <c r="L16" s="135">
        <f t="shared" si="12"/>
        <v>1040.2492410351565</v>
      </c>
      <c r="M16" s="135">
        <f t="shared" si="12"/>
        <v>1092.2617030869144</v>
      </c>
      <c r="N16" s="135">
        <f t="shared" si="12"/>
        <v>1146.8747882412601</v>
      </c>
      <c r="O16" s="135">
        <f t="shared" si="12"/>
        <v>1204.2185276533232</v>
      </c>
      <c r="P16" s="135">
        <f t="shared" si="12"/>
        <v>1264.4294540359895</v>
      </c>
      <c r="Q16" s="135">
        <f t="shared" si="12"/>
        <v>1327.650926737789</v>
      </c>
      <c r="R16" s="135">
        <f t="shared" si="12"/>
        <v>1394.0334730746786</v>
      </c>
      <c r="S16" s="135">
        <f t="shared" si="12"/>
        <v>1463.7351467284125</v>
      </c>
      <c r="T16" s="135">
        <f t="shared" si="12"/>
        <v>1536.9219040648331</v>
      </c>
      <c r="U16" s="135">
        <f t="shared" si="12"/>
        <v>1613.7679992680748</v>
      </c>
      <c r="V16" s="135">
        <f t="shared" si="12"/>
        <v>1694.4563992314786</v>
      </c>
      <c r="W16" s="135">
        <f t="shared" si="12"/>
        <v>1779.1792191930526</v>
      </c>
      <c r="X16" s="135">
        <f t="shared" si="12"/>
        <v>1868.1381801527054</v>
      </c>
      <c r="Y16" s="135">
        <f t="shared" si="12"/>
        <v>1961.5450891603407</v>
      </c>
      <c r="Z16" s="135">
        <f t="shared" si="12"/>
        <v>2059.6223436183577</v>
      </c>
      <c r="AA16" s="135">
        <f t="shared" si="12"/>
        <v>2162.6034607992756</v>
      </c>
      <c r="AB16" s="135">
        <f t="shared" si="12"/>
        <v>2270.7336338392392</v>
      </c>
      <c r="AC16" s="135">
        <f t="shared" si="12"/>
        <v>2384.2703155312015</v>
      </c>
      <c r="AD16" s="137"/>
      <c r="AE16" s="130" t="s">
        <v>56</v>
      </c>
    </row>
    <row r="17" spans="1:31" ht="10.5">
      <c r="A17" s="19" t="s">
        <v>67</v>
      </c>
      <c r="D17" s="29"/>
      <c r="E17" s="141">
        <v>1650</v>
      </c>
      <c r="F17" s="49">
        <f t="shared" si="0"/>
        <v>1707.7499999999998</v>
      </c>
      <c r="G17" s="49">
        <f aca="true" t="shared" si="13" ref="G17:AC17">SUM(F17*1.05)</f>
        <v>1793.1374999999998</v>
      </c>
      <c r="H17" s="49">
        <f t="shared" si="13"/>
        <v>1882.794375</v>
      </c>
      <c r="I17" s="49">
        <f t="shared" si="13"/>
        <v>1976.93409375</v>
      </c>
      <c r="J17" s="49">
        <f t="shared" si="13"/>
        <v>2075.7807984375004</v>
      </c>
      <c r="K17" s="49">
        <f t="shared" si="13"/>
        <v>2179.5698383593754</v>
      </c>
      <c r="L17" s="49">
        <f t="shared" si="13"/>
        <v>2288.548330277344</v>
      </c>
      <c r="M17" s="49">
        <f t="shared" si="13"/>
        <v>2402.9757467912113</v>
      </c>
      <c r="N17" s="49">
        <f t="shared" si="13"/>
        <v>2523.124534130772</v>
      </c>
      <c r="O17" s="49">
        <f t="shared" si="13"/>
        <v>2649.280760837311</v>
      </c>
      <c r="P17" s="49">
        <f t="shared" si="13"/>
        <v>2781.7447988791764</v>
      </c>
      <c r="Q17" s="49">
        <f t="shared" si="13"/>
        <v>2920.8320388231355</v>
      </c>
      <c r="R17" s="49">
        <f t="shared" si="13"/>
        <v>3066.8736407642923</v>
      </c>
      <c r="S17" s="49">
        <f t="shared" si="13"/>
        <v>3220.217322802507</v>
      </c>
      <c r="T17" s="49">
        <f t="shared" si="13"/>
        <v>3381.2281889426326</v>
      </c>
      <c r="U17" s="49">
        <f t="shared" si="13"/>
        <v>3550.2895983897643</v>
      </c>
      <c r="V17" s="49">
        <f t="shared" si="13"/>
        <v>3727.8040783092524</v>
      </c>
      <c r="W17" s="49">
        <f t="shared" si="13"/>
        <v>3914.194282224715</v>
      </c>
      <c r="X17" s="49">
        <f t="shared" si="13"/>
        <v>4109.903996335951</v>
      </c>
      <c r="Y17" s="49">
        <f t="shared" si="13"/>
        <v>4315.399196152749</v>
      </c>
      <c r="Z17" s="49">
        <f t="shared" si="13"/>
        <v>4531.169155960387</v>
      </c>
      <c r="AA17" s="49">
        <f t="shared" si="13"/>
        <v>4757.727613758407</v>
      </c>
      <c r="AB17" s="49">
        <f t="shared" si="13"/>
        <v>4995.6139944463275</v>
      </c>
      <c r="AC17" s="49">
        <f t="shared" si="13"/>
        <v>5245.3946941686445</v>
      </c>
      <c r="AD17" s="54"/>
      <c r="AE17" s="19" t="s">
        <v>67</v>
      </c>
    </row>
    <row r="18" spans="1:30" s="130" customFormat="1" ht="10.5">
      <c r="A18" s="130" t="s">
        <v>127</v>
      </c>
      <c r="D18" s="134"/>
      <c r="E18" s="129">
        <f>SUM(E17*1)</f>
        <v>1650</v>
      </c>
      <c r="F18" s="135">
        <f t="shared" si="0"/>
        <v>1707.7499999999998</v>
      </c>
      <c r="G18" s="135">
        <f aca="true" t="shared" si="14" ref="G18:AC18">SUM(F18*1.035)</f>
        <v>1767.5212499999996</v>
      </c>
      <c r="H18" s="135">
        <f t="shared" si="14"/>
        <v>1829.3844937499994</v>
      </c>
      <c r="I18" s="135">
        <f t="shared" si="14"/>
        <v>1893.4129510312491</v>
      </c>
      <c r="J18" s="135">
        <f t="shared" si="14"/>
        <v>1959.6824043173426</v>
      </c>
      <c r="K18" s="135">
        <f t="shared" si="14"/>
        <v>2028.2712884684495</v>
      </c>
      <c r="L18" s="135">
        <f t="shared" si="14"/>
        <v>2099.260783564845</v>
      </c>
      <c r="M18" s="135">
        <f t="shared" si="14"/>
        <v>2172.7349109896145</v>
      </c>
      <c r="N18" s="135">
        <f t="shared" si="14"/>
        <v>2248.780632874251</v>
      </c>
      <c r="O18" s="135">
        <f t="shared" si="14"/>
        <v>2327.4879550248493</v>
      </c>
      <c r="P18" s="135">
        <f t="shared" si="14"/>
        <v>2408.950033450719</v>
      </c>
      <c r="Q18" s="135">
        <f t="shared" si="14"/>
        <v>2493.2632846214938</v>
      </c>
      <c r="R18" s="135">
        <f t="shared" si="14"/>
        <v>2580.527499583246</v>
      </c>
      <c r="S18" s="135">
        <f t="shared" si="14"/>
        <v>2670.8459620686594</v>
      </c>
      <c r="T18" s="135">
        <f t="shared" si="14"/>
        <v>2764.325570741062</v>
      </c>
      <c r="U18" s="135">
        <f t="shared" si="14"/>
        <v>2861.076965716999</v>
      </c>
      <c r="V18" s="135">
        <f t="shared" si="14"/>
        <v>2961.214659517094</v>
      </c>
      <c r="W18" s="135">
        <f t="shared" si="14"/>
        <v>3064.857172600192</v>
      </c>
      <c r="X18" s="135">
        <f t="shared" si="14"/>
        <v>3172.127173641198</v>
      </c>
      <c r="Y18" s="135">
        <f t="shared" si="14"/>
        <v>3283.15162471864</v>
      </c>
      <c r="Z18" s="135">
        <f t="shared" si="14"/>
        <v>3398.061931583792</v>
      </c>
      <c r="AA18" s="135">
        <f t="shared" si="14"/>
        <v>3516.9940991892245</v>
      </c>
      <c r="AB18" s="135">
        <f t="shared" si="14"/>
        <v>3640.0888926608473</v>
      </c>
      <c r="AC18" s="135">
        <f t="shared" si="14"/>
        <v>3767.4920039039766</v>
      </c>
      <c r="AD18" s="137"/>
    </row>
    <row r="19" spans="1:31" s="130" customFormat="1" ht="10.5">
      <c r="A19" s="130" t="s">
        <v>136</v>
      </c>
      <c r="D19" s="134"/>
      <c r="E19" s="129">
        <v>1600</v>
      </c>
      <c r="F19" s="135">
        <f t="shared" si="0"/>
        <v>1655.9999999999998</v>
      </c>
      <c r="G19" s="135">
        <f aca="true" t="shared" si="15" ref="G19:AC19">SUM(F19*1.035)</f>
        <v>1713.9599999999996</v>
      </c>
      <c r="H19" s="135">
        <f t="shared" si="15"/>
        <v>1773.9485999999995</v>
      </c>
      <c r="I19" s="135">
        <f t="shared" si="15"/>
        <v>1836.0368009999993</v>
      </c>
      <c r="J19" s="135">
        <f t="shared" si="15"/>
        <v>1900.298089034999</v>
      </c>
      <c r="K19" s="135">
        <f t="shared" si="15"/>
        <v>1966.8085221512238</v>
      </c>
      <c r="L19" s="135">
        <f t="shared" si="15"/>
        <v>2035.6468204265163</v>
      </c>
      <c r="M19" s="135">
        <f t="shared" si="15"/>
        <v>2106.8944591414443</v>
      </c>
      <c r="N19" s="135">
        <f t="shared" si="15"/>
        <v>2180.6357652113948</v>
      </c>
      <c r="O19" s="135">
        <f t="shared" si="15"/>
        <v>2256.9580169937935</v>
      </c>
      <c r="P19" s="135">
        <f t="shared" si="15"/>
        <v>2335.951547588576</v>
      </c>
      <c r="Q19" s="135">
        <f t="shared" si="15"/>
        <v>2417.709851754176</v>
      </c>
      <c r="R19" s="135">
        <f t="shared" si="15"/>
        <v>2502.329696565572</v>
      </c>
      <c r="S19" s="135">
        <f t="shared" si="15"/>
        <v>2589.9112359453666</v>
      </c>
      <c r="T19" s="135">
        <f t="shared" si="15"/>
        <v>2680.558129203454</v>
      </c>
      <c r="U19" s="135">
        <f t="shared" si="15"/>
        <v>2774.3776637255746</v>
      </c>
      <c r="V19" s="135">
        <f t="shared" si="15"/>
        <v>2871.4808819559694</v>
      </c>
      <c r="W19" s="135">
        <f t="shared" si="15"/>
        <v>2971.9827128244283</v>
      </c>
      <c r="X19" s="135">
        <f t="shared" si="15"/>
        <v>3076.002107773283</v>
      </c>
      <c r="Y19" s="135">
        <f t="shared" si="15"/>
        <v>3183.6621815453477</v>
      </c>
      <c r="Z19" s="135">
        <f t="shared" si="15"/>
        <v>3295.090357899435</v>
      </c>
      <c r="AA19" s="135">
        <f t="shared" si="15"/>
        <v>3410.4185204259147</v>
      </c>
      <c r="AB19" s="135">
        <f t="shared" si="15"/>
        <v>3529.7831686408213</v>
      </c>
      <c r="AC19" s="135">
        <f t="shared" si="15"/>
        <v>3653.3255795432497</v>
      </c>
      <c r="AD19" s="137"/>
      <c r="AE19" s="130" t="s">
        <v>136</v>
      </c>
    </row>
    <row r="20" spans="1:31" ht="10.5">
      <c r="A20" s="19" t="s">
        <v>62</v>
      </c>
      <c r="D20" s="29"/>
      <c r="E20" s="85">
        <f>SUM(E6+E8+E10+E12+E14+E17)</f>
        <v>18000</v>
      </c>
      <c r="F20" s="85">
        <f t="shared" si="0"/>
        <v>18630</v>
      </c>
      <c r="G20" s="85">
        <f aca="true" t="shared" si="16" ref="G20:AC20">SUM(F20*1.035)</f>
        <v>19282.05</v>
      </c>
      <c r="H20" s="85">
        <f t="shared" si="16"/>
        <v>19956.921749999998</v>
      </c>
      <c r="I20" s="85">
        <f t="shared" si="16"/>
        <v>20655.414011249995</v>
      </c>
      <c r="J20" s="85">
        <f t="shared" si="16"/>
        <v>21378.35350164374</v>
      </c>
      <c r="K20" s="85">
        <f t="shared" si="16"/>
        <v>22126.59587420127</v>
      </c>
      <c r="L20" s="85">
        <f t="shared" si="16"/>
        <v>22901.026729798312</v>
      </c>
      <c r="M20" s="85">
        <f t="shared" si="16"/>
        <v>23702.56266534125</v>
      </c>
      <c r="N20" s="85">
        <f t="shared" si="16"/>
        <v>24532.152358628195</v>
      </c>
      <c r="O20" s="85">
        <f t="shared" si="16"/>
        <v>25390.77769118018</v>
      </c>
      <c r="P20" s="85">
        <f t="shared" si="16"/>
        <v>26279.454910371485</v>
      </c>
      <c r="Q20" s="85">
        <f t="shared" si="16"/>
        <v>27199.235832234484</v>
      </c>
      <c r="R20" s="85">
        <f t="shared" si="16"/>
        <v>28151.20908636269</v>
      </c>
      <c r="S20" s="85">
        <f t="shared" si="16"/>
        <v>29136.501404385384</v>
      </c>
      <c r="T20" s="85">
        <f t="shared" si="16"/>
        <v>30156.27895353887</v>
      </c>
      <c r="U20" s="85">
        <f t="shared" si="16"/>
        <v>31211.748716912727</v>
      </c>
      <c r="V20" s="85">
        <f t="shared" si="16"/>
        <v>32304.15992200467</v>
      </c>
      <c r="W20" s="85">
        <f t="shared" si="16"/>
        <v>33434.80551927483</v>
      </c>
      <c r="X20" s="85">
        <f t="shared" si="16"/>
        <v>34605.023712449445</v>
      </c>
      <c r="Y20" s="85">
        <f t="shared" si="16"/>
        <v>35816.19954238517</v>
      </c>
      <c r="Z20" s="85">
        <f t="shared" si="16"/>
        <v>37069.76652636865</v>
      </c>
      <c r="AA20" s="85">
        <f t="shared" si="16"/>
        <v>38367.20835479155</v>
      </c>
      <c r="AB20" s="85">
        <f t="shared" si="16"/>
        <v>39710.060647209255</v>
      </c>
      <c r="AC20" s="85">
        <f t="shared" si="16"/>
        <v>41099.91276986158</v>
      </c>
      <c r="AD20" s="51"/>
      <c r="AE20" s="19" t="s">
        <v>62</v>
      </c>
    </row>
    <row r="21" spans="1:30" s="130" customFormat="1" ht="9" customHeight="1">
      <c r="A21" s="130" t="s">
        <v>130</v>
      </c>
      <c r="D21" s="134"/>
      <c r="E21" s="129">
        <f>SUM(E7+E9+E11+E13+E15+E16+E18)</f>
        <v>27762.5</v>
      </c>
      <c r="F21" s="129">
        <f>SUM(F7+F9+F11+F13+F15+F16+F18)</f>
        <v>28734.1875</v>
      </c>
      <c r="G21" s="129">
        <f aca="true" t="shared" si="17" ref="G21:AC21">SUM(F21*1.035)</f>
        <v>29739.884062499998</v>
      </c>
      <c r="H21" s="129">
        <f t="shared" si="17"/>
        <v>30780.780004687495</v>
      </c>
      <c r="I21" s="129">
        <f t="shared" si="17"/>
        <v>31858.107304851554</v>
      </c>
      <c r="J21" s="129">
        <f t="shared" si="17"/>
        <v>32973.14106052135</v>
      </c>
      <c r="K21" s="129">
        <f t="shared" si="17"/>
        <v>34127.2009976396</v>
      </c>
      <c r="L21" s="129">
        <f t="shared" si="17"/>
        <v>35321.653032556984</v>
      </c>
      <c r="M21" s="129">
        <f t="shared" si="17"/>
        <v>36557.910888696475</v>
      </c>
      <c r="N21" s="129">
        <f t="shared" si="17"/>
        <v>37837.43776980085</v>
      </c>
      <c r="O21" s="129">
        <f t="shared" si="17"/>
        <v>39161.74809174387</v>
      </c>
      <c r="P21" s="129">
        <f t="shared" si="17"/>
        <v>40532.40927495491</v>
      </c>
      <c r="Q21" s="129">
        <f t="shared" si="17"/>
        <v>41951.04359957833</v>
      </c>
      <c r="R21" s="129">
        <f t="shared" si="17"/>
        <v>43419.33012556357</v>
      </c>
      <c r="S21" s="129">
        <f t="shared" si="17"/>
        <v>44939.006679958286</v>
      </c>
      <c r="T21" s="129">
        <f t="shared" si="17"/>
        <v>46511.87191375682</v>
      </c>
      <c r="U21" s="129">
        <f t="shared" si="17"/>
        <v>48139.7874307383</v>
      </c>
      <c r="V21" s="129">
        <f t="shared" si="17"/>
        <v>49824.67999081414</v>
      </c>
      <c r="W21" s="129">
        <f t="shared" si="17"/>
        <v>51568.54379049263</v>
      </c>
      <c r="X21" s="129">
        <f t="shared" si="17"/>
        <v>53373.442823159865</v>
      </c>
      <c r="Y21" s="129">
        <f t="shared" si="17"/>
        <v>55241.51332197046</v>
      </c>
      <c r="Z21" s="129">
        <f t="shared" si="17"/>
        <v>57174.96628823942</v>
      </c>
      <c r="AA21" s="129">
        <f t="shared" si="17"/>
        <v>59176.09010832779</v>
      </c>
      <c r="AB21" s="129">
        <f t="shared" si="17"/>
        <v>61247.25326211926</v>
      </c>
      <c r="AC21" s="129">
        <f t="shared" si="17"/>
        <v>63390.90712629343</v>
      </c>
      <c r="AD21" s="133"/>
    </row>
    <row r="22" spans="1:30" ht="10.5">
      <c r="A22" s="19" t="s">
        <v>68</v>
      </c>
      <c r="D22" s="29"/>
      <c r="E22" s="85">
        <f aca="true" t="shared" si="18" ref="E22:AC22">SUM(E6+E8+E10+E12+E14+E17)</f>
        <v>18000</v>
      </c>
      <c r="F22" s="85">
        <f t="shared" si="18"/>
        <v>18630</v>
      </c>
      <c r="G22" s="85">
        <f t="shared" si="18"/>
        <v>19577.024999999998</v>
      </c>
      <c r="H22" s="85">
        <f t="shared" si="18"/>
        <v>20572.33275</v>
      </c>
      <c r="I22" s="85">
        <f t="shared" si="18"/>
        <v>21618.3932775</v>
      </c>
      <c r="J22" s="85">
        <f t="shared" si="18"/>
        <v>22717.803464775003</v>
      </c>
      <c r="K22" s="85">
        <f t="shared" si="18"/>
        <v>23873.293592817754</v>
      </c>
      <c r="L22" s="85">
        <f t="shared" si="18"/>
        <v>25087.734224550877</v>
      </c>
      <c r="M22" s="85">
        <f t="shared" si="18"/>
        <v>26364.143444996203</v>
      </c>
      <c r="N22" s="85">
        <f t="shared" si="18"/>
        <v>27705.694477016852</v>
      </c>
      <c r="O22" s="85">
        <f t="shared" si="18"/>
        <v>29115.723692224787</v>
      </c>
      <c r="P22" s="85">
        <f t="shared" si="18"/>
        <v>30597.739037674542</v>
      </c>
      <c r="Q22" s="85">
        <f t="shared" si="18"/>
        <v>32155.428900047104</v>
      </c>
      <c r="R22" s="85">
        <f t="shared" si="18"/>
        <v>33792.67143016761</v>
      </c>
      <c r="S22" s="85">
        <f t="shared" si="18"/>
        <v>35513.54435190124</v>
      </c>
      <c r="T22" s="85">
        <f t="shared" si="18"/>
        <v>37322.33528073507</v>
      </c>
      <c r="U22" s="85">
        <f t="shared" si="18"/>
        <v>39223.5525786849</v>
      </c>
      <c r="V22" s="85">
        <f t="shared" si="18"/>
        <v>41221.93677356703</v>
      </c>
      <c r="W22" s="85">
        <f t="shared" si="18"/>
        <v>43322.47257215012</v>
      </c>
      <c r="X22" s="85">
        <f t="shared" si="18"/>
        <v>45530.401498256666</v>
      </c>
      <c r="Y22" s="85">
        <f t="shared" si="18"/>
        <v>47851.235188518476</v>
      </c>
      <c r="Z22" s="85">
        <f t="shared" si="18"/>
        <v>50290.769380214304</v>
      </c>
      <c r="AA22" s="85">
        <f t="shared" si="18"/>
        <v>52855.09862743113</v>
      </c>
      <c r="AB22" s="85">
        <f t="shared" si="18"/>
        <v>55550.63178370117</v>
      </c>
      <c r="AC22" s="85">
        <f t="shared" si="18"/>
        <v>58384.10829127859</v>
      </c>
      <c r="AD22" s="55"/>
    </row>
    <row r="23" spans="1:32" ht="10.5">
      <c r="A23" s="19" t="s">
        <v>129</v>
      </c>
      <c r="B23" s="29"/>
      <c r="E23" s="64">
        <f>SUM(E21*7)</f>
        <v>194337.5</v>
      </c>
      <c r="F23" s="64">
        <f aca="true" t="shared" si="19" ref="F23:AC23">SUM(F21*7)</f>
        <v>201139.3125</v>
      </c>
      <c r="G23" s="64">
        <f t="shared" si="19"/>
        <v>208179.18843749998</v>
      </c>
      <c r="H23" s="64">
        <f t="shared" si="19"/>
        <v>215465.46003281247</v>
      </c>
      <c r="I23" s="64">
        <f t="shared" si="19"/>
        <v>223006.75113396088</v>
      </c>
      <c r="J23" s="64">
        <f t="shared" si="19"/>
        <v>230811.98742364947</v>
      </c>
      <c r="K23" s="64">
        <f t="shared" si="19"/>
        <v>238890.4069834772</v>
      </c>
      <c r="L23" s="64">
        <f t="shared" si="19"/>
        <v>247251.57122789888</v>
      </c>
      <c r="M23" s="64">
        <f t="shared" si="19"/>
        <v>255905.37622087533</v>
      </c>
      <c r="N23" s="64">
        <f t="shared" si="19"/>
        <v>264862.06438860594</v>
      </c>
      <c r="O23" s="64">
        <f t="shared" si="19"/>
        <v>274132.23664220714</v>
      </c>
      <c r="P23" s="64">
        <f t="shared" si="19"/>
        <v>283726.86492468434</v>
      </c>
      <c r="Q23" s="64">
        <f t="shared" si="19"/>
        <v>293657.3051970483</v>
      </c>
      <c r="R23" s="64">
        <f t="shared" si="19"/>
        <v>303935.310878945</v>
      </c>
      <c r="S23" s="64">
        <f t="shared" si="19"/>
        <v>314573.04675970797</v>
      </c>
      <c r="T23" s="64">
        <f t="shared" si="19"/>
        <v>325583.1033962977</v>
      </c>
      <c r="U23" s="64">
        <f t="shared" si="19"/>
        <v>336978.5120151681</v>
      </c>
      <c r="V23" s="64">
        <f t="shared" si="19"/>
        <v>348772.759935699</v>
      </c>
      <c r="W23" s="64">
        <f t="shared" si="19"/>
        <v>360979.8065334484</v>
      </c>
      <c r="X23" s="64">
        <f t="shared" si="19"/>
        <v>373614.09976211906</v>
      </c>
      <c r="Y23" s="64">
        <f t="shared" si="19"/>
        <v>386690.5932537932</v>
      </c>
      <c r="Z23" s="64">
        <f t="shared" si="19"/>
        <v>400224.76401767595</v>
      </c>
      <c r="AA23" s="64">
        <f t="shared" si="19"/>
        <v>414232.63075829454</v>
      </c>
      <c r="AB23" s="64">
        <f t="shared" si="19"/>
        <v>428730.7728348348</v>
      </c>
      <c r="AC23" s="64">
        <f t="shared" si="19"/>
        <v>443736.34988405404</v>
      </c>
      <c r="AD23" s="56"/>
      <c r="AE23" s="19" t="s">
        <v>64</v>
      </c>
      <c r="AF23" s="29"/>
    </row>
    <row r="24" spans="1:32" ht="10.5">
      <c r="A24" s="19" t="s">
        <v>65</v>
      </c>
      <c r="B24" s="29"/>
      <c r="E24" s="49">
        <f>SUM(E23*52)</f>
        <v>10105550</v>
      </c>
      <c r="F24" s="49">
        <f aca="true" t="shared" si="20" ref="F24:AC24">SUM(F23*52)</f>
        <v>10459244.25</v>
      </c>
      <c r="G24" s="49">
        <f t="shared" si="20"/>
        <v>10825317.798749998</v>
      </c>
      <c r="H24" s="49">
        <f t="shared" si="20"/>
        <v>11204203.921706248</v>
      </c>
      <c r="I24" s="49">
        <f t="shared" si="20"/>
        <v>11596351.058965966</v>
      </c>
      <c r="J24" s="49">
        <f t="shared" si="20"/>
        <v>12002223.346029771</v>
      </c>
      <c r="K24" s="49">
        <f t="shared" si="20"/>
        <v>12422301.163140815</v>
      </c>
      <c r="L24" s="49">
        <f t="shared" si="20"/>
        <v>12857081.703850742</v>
      </c>
      <c r="M24" s="49">
        <f t="shared" si="20"/>
        <v>13307079.563485518</v>
      </c>
      <c r="N24" s="49">
        <f t="shared" si="20"/>
        <v>13772827.34820751</v>
      </c>
      <c r="O24" s="49">
        <f t="shared" si="20"/>
        <v>14254876.30539477</v>
      </c>
      <c r="P24" s="49">
        <f t="shared" si="20"/>
        <v>14753796.976083586</v>
      </c>
      <c r="Q24" s="49">
        <f t="shared" si="20"/>
        <v>15270179.870246511</v>
      </c>
      <c r="R24" s="49">
        <f t="shared" si="20"/>
        <v>15804636.165705139</v>
      </c>
      <c r="S24" s="49">
        <f t="shared" si="20"/>
        <v>16357798.431504814</v>
      </c>
      <c r="T24" s="49">
        <f t="shared" si="20"/>
        <v>16930321.37660748</v>
      </c>
      <c r="U24" s="49">
        <f t="shared" si="20"/>
        <v>17522882.62478874</v>
      </c>
      <c r="V24" s="49">
        <f t="shared" si="20"/>
        <v>18136183.516656347</v>
      </c>
      <c r="W24" s="49">
        <f t="shared" si="20"/>
        <v>18770949.939739317</v>
      </c>
      <c r="X24" s="49">
        <f t="shared" si="20"/>
        <v>19427933.18763019</v>
      </c>
      <c r="Y24" s="49">
        <f t="shared" si="20"/>
        <v>20107910.849197246</v>
      </c>
      <c r="Z24" s="49">
        <f t="shared" si="20"/>
        <v>20811687.72891915</v>
      </c>
      <c r="AA24" s="49">
        <f t="shared" si="20"/>
        <v>21540096.799431317</v>
      </c>
      <c r="AB24" s="49">
        <f t="shared" si="20"/>
        <v>22294000.18741141</v>
      </c>
      <c r="AC24" s="49">
        <f t="shared" si="20"/>
        <v>23074290.19397081</v>
      </c>
      <c r="AD24" s="56">
        <f>SUM(E24:AC24)</f>
        <v>393609724.3074234</v>
      </c>
      <c r="AE24" s="19" t="s">
        <v>126</v>
      </c>
      <c r="AF24" s="29"/>
    </row>
    <row r="25" spans="2:31" ht="10.5">
      <c r="B25" s="2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6"/>
      <c r="AE25" s="29"/>
    </row>
    <row r="26" spans="1:31" ht="10.5">
      <c r="A26" s="28" t="s">
        <v>16</v>
      </c>
      <c r="E26" s="49"/>
      <c r="F26" s="49"/>
      <c r="G26" s="50"/>
      <c r="H26" s="58"/>
      <c r="I26" s="65"/>
      <c r="J26" s="65"/>
      <c r="K26" s="65"/>
      <c r="L26" s="65"/>
      <c r="M26" s="65"/>
      <c r="N26" s="49"/>
      <c r="O26" s="66"/>
      <c r="P26" s="66"/>
      <c r="Q26" s="66"/>
      <c r="R26" s="66"/>
      <c r="S26" s="66"/>
      <c r="T26" s="66"/>
      <c r="U26" s="52"/>
      <c r="V26" s="52"/>
      <c r="W26" s="52"/>
      <c r="X26" s="52"/>
      <c r="Y26" s="52"/>
      <c r="Z26" s="52"/>
      <c r="AA26" s="52"/>
      <c r="AB26" s="52"/>
      <c r="AC26" s="52"/>
      <c r="AD26" s="51"/>
      <c r="AE26" s="28" t="s">
        <v>16</v>
      </c>
    </row>
    <row r="27" spans="1:31" ht="10.5">
      <c r="A27" s="29" t="s">
        <v>132</v>
      </c>
      <c r="D27" s="29" t="s">
        <v>17</v>
      </c>
      <c r="E27" s="49">
        <f>SUM(E24*0.3)</f>
        <v>3031665</v>
      </c>
      <c r="F27" s="49">
        <f aca="true" t="shared" si="21" ref="F27:AC27">SUM(F24*0.3)</f>
        <v>3137773.275</v>
      </c>
      <c r="G27" s="49">
        <f t="shared" si="21"/>
        <v>3247595.3396249996</v>
      </c>
      <c r="H27" s="49">
        <f t="shared" si="21"/>
        <v>3361261.1765118744</v>
      </c>
      <c r="I27" s="49">
        <f t="shared" si="21"/>
        <v>3478905.31768979</v>
      </c>
      <c r="J27" s="49">
        <f t="shared" si="21"/>
        <v>3600667.0038089314</v>
      </c>
      <c r="K27" s="49">
        <f t="shared" si="21"/>
        <v>3726690.3489422444</v>
      </c>
      <c r="L27" s="49">
        <f t="shared" si="21"/>
        <v>3857124.5111552225</v>
      </c>
      <c r="M27" s="49">
        <f t="shared" si="21"/>
        <v>3992123.8690456552</v>
      </c>
      <c r="N27" s="49">
        <f>SUM(N24*0.3)</f>
        <v>4131848.2044622526</v>
      </c>
      <c r="O27" s="49">
        <f t="shared" si="21"/>
        <v>4276462.891618431</v>
      </c>
      <c r="P27" s="49">
        <f t="shared" si="21"/>
        <v>4426139.092825076</v>
      </c>
      <c r="Q27" s="49">
        <f t="shared" si="21"/>
        <v>4581053.961073953</v>
      </c>
      <c r="R27" s="49">
        <f t="shared" si="21"/>
        <v>4741390.849711541</v>
      </c>
      <c r="S27" s="49">
        <f t="shared" si="21"/>
        <v>4907339.529451444</v>
      </c>
      <c r="T27" s="49">
        <f t="shared" si="21"/>
        <v>5079096.412982244</v>
      </c>
      <c r="U27" s="49">
        <f t="shared" si="21"/>
        <v>5256864.787436621</v>
      </c>
      <c r="V27" s="49">
        <f t="shared" si="21"/>
        <v>5440855.054996904</v>
      </c>
      <c r="W27" s="49">
        <f>SUM(W24*0.3)</f>
        <v>5631284.981921795</v>
      </c>
      <c r="X27" s="49">
        <f t="shared" si="21"/>
        <v>5828379.956289058</v>
      </c>
      <c r="Y27" s="49">
        <f t="shared" si="21"/>
        <v>6032373.254759174</v>
      </c>
      <c r="Z27" s="49">
        <f t="shared" si="21"/>
        <v>6243506.318675744</v>
      </c>
      <c r="AA27" s="49">
        <f t="shared" si="21"/>
        <v>6462029.039829395</v>
      </c>
      <c r="AB27" s="49">
        <f t="shared" si="21"/>
        <v>6688200.056223422</v>
      </c>
      <c r="AC27" s="49">
        <f t="shared" si="21"/>
        <v>6922287.058191243</v>
      </c>
      <c r="AD27" s="51">
        <f aca="true" t="shared" si="22" ref="AD27:AD32">SUM(E27:AC27)</f>
        <v>118082917.292227</v>
      </c>
      <c r="AE27" s="29" t="s">
        <v>134</v>
      </c>
    </row>
    <row r="28" spans="1:31" ht="10.5">
      <c r="A28" s="29" t="s">
        <v>133</v>
      </c>
      <c r="D28" s="29" t="s">
        <v>18</v>
      </c>
      <c r="E28" s="49">
        <v>6339924</v>
      </c>
      <c r="F28" s="49">
        <v>6339924</v>
      </c>
      <c r="G28" s="49">
        <v>6339924</v>
      </c>
      <c r="H28" s="49">
        <v>6339924</v>
      </c>
      <c r="I28" s="49">
        <v>6339924</v>
      </c>
      <c r="J28" s="49">
        <v>6339924</v>
      </c>
      <c r="K28" s="49">
        <v>6339924</v>
      </c>
      <c r="L28" s="49">
        <v>6339924</v>
      </c>
      <c r="M28" s="49">
        <v>6339924</v>
      </c>
      <c r="N28" s="49">
        <v>6339924</v>
      </c>
      <c r="O28" s="49">
        <v>6339924</v>
      </c>
      <c r="P28" s="49">
        <v>6339924</v>
      </c>
      <c r="Q28" s="49">
        <v>6339924</v>
      </c>
      <c r="R28" s="49">
        <v>6339924</v>
      </c>
      <c r="S28" s="49">
        <v>6339924</v>
      </c>
      <c r="T28" s="49">
        <v>6339924</v>
      </c>
      <c r="U28" s="49">
        <v>6339924</v>
      </c>
      <c r="V28" s="49">
        <v>6339924</v>
      </c>
      <c r="W28" s="49">
        <v>6339924</v>
      </c>
      <c r="X28" s="49">
        <v>6339924</v>
      </c>
      <c r="Y28" s="49">
        <v>6339924</v>
      </c>
      <c r="Z28" s="49">
        <v>6339924</v>
      </c>
      <c r="AA28" s="49">
        <v>6339924</v>
      </c>
      <c r="AB28" s="49">
        <v>6339924</v>
      </c>
      <c r="AC28" s="49">
        <v>6339924</v>
      </c>
      <c r="AD28" s="51">
        <f t="shared" si="22"/>
        <v>158498100</v>
      </c>
      <c r="AE28" s="29" t="s">
        <v>122</v>
      </c>
    </row>
    <row r="29" spans="1:31" ht="10.5">
      <c r="A29" s="29" t="s">
        <v>124</v>
      </c>
      <c r="D29" s="29"/>
      <c r="E29" s="49">
        <f aca="true" t="shared" si="23" ref="E29:AC29">SUM(E24*0.03)</f>
        <v>303166.5</v>
      </c>
      <c r="F29" s="49">
        <f t="shared" si="23"/>
        <v>313777.3275</v>
      </c>
      <c r="G29" s="49">
        <f t="shared" si="23"/>
        <v>324759.53396249993</v>
      </c>
      <c r="H29" s="49">
        <f t="shared" si="23"/>
        <v>336126.1176511874</v>
      </c>
      <c r="I29" s="49">
        <f t="shared" si="23"/>
        <v>347890.531768979</v>
      </c>
      <c r="J29" s="49">
        <f t="shared" si="23"/>
        <v>360066.70038089313</v>
      </c>
      <c r="K29" s="49">
        <f t="shared" si="23"/>
        <v>372669.03489422443</v>
      </c>
      <c r="L29" s="49">
        <f t="shared" si="23"/>
        <v>385712.45111552224</v>
      </c>
      <c r="M29" s="49">
        <f t="shared" si="23"/>
        <v>399212.3869045655</v>
      </c>
      <c r="N29" s="49">
        <f t="shared" si="23"/>
        <v>413184.82044622523</v>
      </c>
      <c r="O29" s="49">
        <f t="shared" si="23"/>
        <v>427646.2891618431</v>
      </c>
      <c r="P29" s="49">
        <f t="shared" si="23"/>
        <v>442613.90928250755</v>
      </c>
      <c r="Q29" s="49">
        <f t="shared" si="23"/>
        <v>458105.3961073953</v>
      </c>
      <c r="R29" s="49">
        <f t="shared" si="23"/>
        <v>474139.08497115417</v>
      </c>
      <c r="S29" s="49">
        <f t="shared" si="23"/>
        <v>490733.9529451444</v>
      </c>
      <c r="T29" s="49">
        <f t="shared" si="23"/>
        <v>507909.64129822445</v>
      </c>
      <c r="U29" s="49">
        <f t="shared" si="23"/>
        <v>525686.4787436621</v>
      </c>
      <c r="V29" s="49">
        <f t="shared" si="23"/>
        <v>544085.5054996904</v>
      </c>
      <c r="W29" s="49">
        <f t="shared" si="23"/>
        <v>563128.4981921795</v>
      </c>
      <c r="X29" s="49">
        <f t="shared" si="23"/>
        <v>582837.9956289057</v>
      </c>
      <c r="Y29" s="49">
        <f t="shared" si="23"/>
        <v>603237.3254759173</v>
      </c>
      <c r="Z29" s="49">
        <f t="shared" si="23"/>
        <v>624350.6318675744</v>
      </c>
      <c r="AA29" s="49">
        <f t="shared" si="23"/>
        <v>646202.9039829394</v>
      </c>
      <c r="AB29" s="49">
        <f t="shared" si="23"/>
        <v>668820.0056223422</v>
      </c>
      <c r="AC29" s="49">
        <f t="shared" si="23"/>
        <v>692228.7058191242</v>
      </c>
      <c r="AD29" s="51">
        <f t="shared" si="22"/>
        <v>11808291.729222704</v>
      </c>
      <c r="AE29" s="29" t="s">
        <v>23</v>
      </c>
    </row>
    <row r="30" spans="1:31" ht="10.5">
      <c r="A30" s="29" t="s">
        <v>69</v>
      </c>
      <c r="D30" s="29" t="s">
        <v>20</v>
      </c>
      <c r="E30" s="139">
        <f>SUM(E24*0.04)</f>
        <v>404222</v>
      </c>
      <c r="F30" s="139">
        <f aca="true" t="shared" si="24" ref="F30:AC30">SUM(F24*0.04)</f>
        <v>418369.77</v>
      </c>
      <c r="G30" s="139">
        <f t="shared" si="24"/>
        <v>433012.7119499999</v>
      </c>
      <c r="H30" s="139">
        <f t="shared" si="24"/>
        <v>448168.15686824993</v>
      </c>
      <c r="I30" s="139">
        <f t="shared" si="24"/>
        <v>463854.04235863866</v>
      </c>
      <c r="J30" s="139">
        <f t="shared" si="24"/>
        <v>480088.9338411909</v>
      </c>
      <c r="K30" s="139">
        <f t="shared" si="24"/>
        <v>496892.0465256326</v>
      </c>
      <c r="L30" s="139">
        <f t="shared" si="24"/>
        <v>514283.26815402973</v>
      </c>
      <c r="M30" s="139">
        <f t="shared" si="24"/>
        <v>532283.1825394208</v>
      </c>
      <c r="N30" s="139">
        <f t="shared" si="24"/>
        <v>550913.0939283004</v>
      </c>
      <c r="O30" s="139">
        <f t="shared" si="24"/>
        <v>570195.0522157908</v>
      </c>
      <c r="P30" s="139">
        <f t="shared" si="24"/>
        <v>590151.8790433435</v>
      </c>
      <c r="Q30" s="139">
        <f t="shared" si="24"/>
        <v>610807.1948098604</v>
      </c>
      <c r="R30" s="139">
        <f t="shared" si="24"/>
        <v>632185.4466282056</v>
      </c>
      <c r="S30" s="139">
        <f t="shared" si="24"/>
        <v>654311.9372601926</v>
      </c>
      <c r="T30" s="139">
        <f t="shared" si="24"/>
        <v>677212.8550642993</v>
      </c>
      <c r="U30" s="139">
        <f t="shared" si="24"/>
        <v>700915.3049915496</v>
      </c>
      <c r="V30" s="139">
        <f t="shared" si="24"/>
        <v>725447.3406662539</v>
      </c>
      <c r="W30" s="139">
        <f t="shared" si="24"/>
        <v>750837.9975895727</v>
      </c>
      <c r="X30" s="139">
        <f t="shared" si="24"/>
        <v>777117.3275052076</v>
      </c>
      <c r="Y30" s="139">
        <f t="shared" si="24"/>
        <v>804316.4339678899</v>
      </c>
      <c r="Z30" s="139">
        <f t="shared" si="24"/>
        <v>832467.509156766</v>
      </c>
      <c r="AA30" s="139">
        <f t="shared" si="24"/>
        <v>861603.8719772527</v>
      </c>
      <c r="AB30" s="139">
        <f t="shared" si="24"/>
        <v>891760.0074964564</v>
      </c>
      <c r="AC30" s="139">
        <f t="shared" si="24"/>
        <v>922971.6077588324</v>
      </c>
      <c r="AD30" s="140">
        <f t="shared" si="22"/>
        <v>15744388.972296936</v>
      </c>
      <c r="AE30" s="29" t="s">
        <v>72</v>
      </c>
    </row>
    <row r="31" spans="2:31" s="42" customFormat="1" ht="10.5">
      <c r="B31" s="41" t="s">
        <v>0</v>
      </c>
      <c r="E31" s="50">
        <f>SUM(E27:E30)</f>
        <v>10078977.5</v>
      </c>
      <c r="F31" s="50">
        <f aca="true" t="shared" si="25" ref="F31:L31">SUM(F27:F30)</f>
        <v>10209844.3725</v>
      </c>
      <c r="G31" s="50">
        <f t="shared" si="25"/>
        <v>10345291.585537499</v>
      </c>
      <c r="H31" s="50">
        <f t="shared" si="25"/>
        <v>10485479.45103131</v>
      </c>
      <c r="I31" s="50">
        <f t="shared" si="25"/>
        <v>10630573.891817408</v>
      </c>
      <c r="J31" s="50">
        <f t="shared" si="25"/>
        <v>10780746.638031015</v>
      </c>
      <c r="K31" s="50">
        <f t="shared" si="25"/>
        <v>10936175.430362102</v>
      </c>
      <c r="L31" s="50">
        <f t="shared" si="25"/>
        <v>11097044.230424773</v>
      </c>
      <c r="M31" s="50">
        <f aca="true" t="shared" si="26" ref="M31:AC31">SUM(M27:M30)</f>
        <v>11263543.438489642</v>
      </c>
      <c r="N31" s="50">
        <f t="shared" si="26"/>
        <v>11435870.118836777</v>
      </c>
      <c r="O31" s="50">
        <f t="shared" si="26"/>
        <v>11614228.232996063</v>
      </c>
      <c r="P31" s="50">
        <f t="shared" si="26"/>
        <v>11798828.881150927</v>
      </c>
      <c r="Q31" s="50">
        <f t="shared" si="26"/>
        <v>11989890.55199121</v>
      </c>
      <c r="R31" s="50">
        <f t="shared" si="26"/>
        <v>12187639.3813109</v>
      </c>
      <c r="S31" s="50">
        <f t="shared" si="26"/>
        <v>12392309.419656781</v>
      </c>
      <c r="T31" s="50">
        <f t="shared" si="26"/>
        <v>12604142.909344768</v>
      </c>
      <c r="U31" s="50">
        <f t="shared" si="26"/>
        <v>12823390.571171833</v>
      </c>
      <c r="V31" s="50">
        <f t="shared" si="26"/>
        <v>13050311.901162848</v>
      </c>
      <c r="W31" s="50">
        <f t="shared" si="26"/>
        <v>13285175.477703549</v>
      </c>
      <c r="X31" s="50">
        <f t="shared" si="26"/>
        <v>13528259.27942317</v>
      </c>
      <c r="Y31" s="50">
        <f t="shared" si="26"/>
        <v>13779851.014202982</v>
      </c>
      <c r="Z31" s="50">
        <f t="shared" si="26"/>
        <v>14040248.459700085</v>
      </c>
      <c r="AA31" s="50">
        <f t="shared" si="26"/>
        <v>14309759.815789588</v>
      </c>
      <c r="AB31" s="50">
        <f t="shared" si="26"/>
        <v>14588704.06934222</v>
      </c>
      <c r="AC31" s="50">
        <f t="shared" si="26"/>
        <v>14877411.371769201</v>
      </c>
      <c r="AD31" s="138">
        <f t="shared" si="22"/>
        <v>304133697.99374664</v>
      </c>
      <c r="AE31" s="41" t="s">
        <v>0</v>
      </c>
    </row>
    <row r="32" spans="1:31" s="42" customFormat="1" ht="24" customHeight="1" thickBot="1">
      <c r="A32" s="115" t="s">
        <v>111</v>
      </c>
      <c r="B32" s="116"/>
      <c r="E32" s="50">
        <f>+E24-E31</f>
        <v>26572.5</v>
      </c>
      <c r="F32" s="50">
        <f aca="true" t="shared" si="27" ref="F32:L32">+F24-F31</f>
        <v>249399.87749999948</v>
      </c>
      <c r="G32" s="50">
        <f t="shared" si="27"/>
        <v>480026.2132124994</v>
      </c>
      <c r="H32" s="50">
        <f t="shared" si="27"/>
        <v>718724.4706749376</v>
      </c>
      <c r="I32" s="50">
        <f t="shared" si="27"/>
        <v>965777.1671485584</v>
      </c>
      <c r="J32" s="50">
        <f t="shared" si="27"/>
        <v>1221476.7079987563</v>
      </c>
      <c r="K32" s="50">
        <f t="shared" si="27"/>
        <v>1486125.732778713</v>
      </c>
      <c r="L32" s="50">
        <f t="shared" si="27"/>
        <v>1760037.4734259695</v>
      </c>
      <c r="M32" s="50">
        <f aca="true" t="shared" si="28" ref="M32:AC32">+M24-M31</f>
        <v>2043536.124995876</v>
      </c>
      <c r="N32" s="50">
        <f t="shared" si="28"/>
        <v>2336957.229370732</v>
      </c>
      <c r="O32" s="50">
        <f t="shared" si="28"/>
        <v>2640648.0723987073</v>
      </c>
      <c r="P32" s="50">
        <f t="shared" si="28"/>
        <v>2954968.0949326586</v>
      </c>
      <c r="Q32" s="50">
        <f t="shared" si="28"/>
        <v>3280289.3182553016</v>
      </c>
      <c r="R32" s="50">
        <f t="shared" si="28"/>
        <v>3616996.784394238</v>
      </c>
      <c r="S32" s="50">
        <f t="shared" si="28"/>
        <v>3965489.0118480325</v>
      </c>
      <c r="T32" s="50">
        <f t="shared" si="28"/>
        <v>4326178.467262713</v>
      </c>
      <c r="U32" s="50">
        <f t="shared" si="28"/>
        <v>4699492.053616906</v>
      </c>
      <c r="V32" s="50">
        <f t="shared" si="28"/>
        <v>5085871.615493499</v>
      </c>
      <c r="W32" s="50">
        <f t="shared" si="28"/>
        <v>5485774.462035768</v>
      </c>
      <c r="X32" s="50">
        <f t="shared" si="28"/>
        <v>5899673.908207022</v>
      </c>
      <c r="Y32" s="50">
        <f t="shared" si="28"/>
        <v>6328059.834994264</v>
      </c>
      <c r="Z32" s="50">
        <f t="shared" si="28"/>
        <v>6771439.269219063</v>
      </c>
      <c r="AA32" s="50">
        <f t="shared" si="28"/>
        <v>7230336.983641729</v>
      </c>
      <c r="AB32" s="50">
        <f t="shared" si="28"/>
        <v>7705296.118069189</v>
      </c>
      <c r="AC32" s="50">
        <f t="shared" si="28"/>
        <v>8196878.82220161</v>
      </c>
      <c r="AD32" s="57">
        <f t="shared" si="22"/>
        <v>89476026.31367673</v>
      </c>
      <c r="AE32" s="41" t="s">
        <v>125</v>
      </c>
    </row>
    <row r="33" spans="1:29" s="127" customFormat="1" ht="9.75" thickTop="1">
      <c r="A33" s="126" t="s">
        <v>112</v>
      </c>
      <c r="E33" s="128">
        <f>+E32</f>
        <v>26572.5</v>
      </c>
      <c r="F33" s="125">
        <f aca="true" t="shared" si="29" ref="F33:AC33">+F32+E33</f>
        <v>275972.3774999995</v>
      </c>
      <c r="G33" s="125">
        <f t="shared" si="29"/>
        <v>755998.5907124989</v>
      </c>
      <c r="H33" s="125">
        <f t="shared" si="29"/>
        <v>1474723.0613874365</v>
      </c>
      <c r="I33" s="125">
        <f t="shared" si="29"/>
        <v>2440500.228535995</v>
      </c>
      <c r="J33" s="125">
        <f t="shared" si="29"/>
        <v>3661976.936534751</v>
      </c>
      <c r="K33" s="125">
        <f t="shared" si="29"/>
        <v>5148102.669313464</v>
      </c>
      <c r="L33" s="125">
        <f t="shared" si="29"/>
        <v>6908140.142739434</v>
      </c>
      <c r="M33" s="125">
        <f t="shared" si="29"/>
        <v>8951676.26773531</v>
      </c>
      <c r="N33" s="125">
        <f t="shared" si="29"/>
        <v>11288633.497106042</v>
      </c>
      <c r="O33" s="125">
        <f t="shared" si="29"/>
        <v>13929281.569504749</v>
      </c>
      <c r="P33" s="125">
        <f t="shared" si="29"/>
        <v>16884249.664437406</v>
      </c>
      <c r="Q33" s="125">
        <f t="shared" si="29"/>
        <v>20164538.982692707</v>
      </c>
      <c r="R33" s="125">
        <f t="shared" si="29"/>
        <v>23781535.767086945</v>
      </c>
      <c r="S33" s="125">
        <f t="shared" si="29"/>
        <v>27747024.778934978</v>
      </c>
      <c r="T33" s="125">
        <f t="shared" si="29"/>
        <v>32073203.246197693</v>
      </c>
      <c r="U33" s="125">
        <f t="shared" si="29"/>
        <v>36772695.2998146</v>
      </c>
      <c r="V33" s="125">
        <f t="shared" si="29"/>
        <v>41858566.915308096</v>
      </c>
      <c r="W33" s="125">
        <f t="shared" si="29"/>
        <v>47344341.37734386</v>
      </c>
      <c r="X33" s="125">
        <f t="shared" si="29"/>
        <v>53244015.285550885</v>
      </c>
      <c r="Y33" s="125">
        <f t="shared" si="29"/>
        <v>59572075.12054515</v>
      </c>
      <c r="Z33" s="125">
        <f t="shared" si="29"/>
        <v>66343514.38976421</v>
      </c>
      <c r="AA33" s="125">
        <f t="shared" si="29"/>
        <v>73573851.37340593</v>
      </c>
      <c r="AB33" s="125">
        <f t="shared" si="29"/>
        <v>81279147.49147512</v>
      </c>
      <c r="AC33" s="125">
        <f t="shared" si="29"/>
        <v>89476026.31367673</v>
      </c>
    </row>
    <row r="34" spans="1:31" ht="10.5">
      <c r="A34" s="29"/>
      <c r="D34" s="29"/>
      <c r="E34" s="49"/>
      <c r="F34" s="49"/>
      <c r="G34" s="50"/>
      <c r="H34" s="58"/>
      <c r="I34" s="65"/>
      <c r="J34" s="65"/>
      <c r="K34" s="65"/>
      <c r="L34" s="65"/>
      <c r="M34" s="65"/>
      <c r="N34" s="49"/>
      <c r="O34" s="66"/>
      <c r="P34" s="66"/>
      <c r="Q34" s="66"/>
      <c r="R34" s="66"/>
      <c r="S34" s="66"/>
      <c r="T34" s="66"/>
      <c r="U34" s="52"/>
      <c r="V34" s="52"/>
      <c r="W34" s="52"/>
      <c r="X34" s="66"/>
      <c r="Y34" s="66"/>
      <c r="Z34" s="66"/>
      <c r="AA34" s="66"/>
      <c r="AB34" s="66"/>
      <c r="AC34" s="66"/>
      <c r="AD34" s="53"/>
      <c r="AE34" s="29"/>
    </row>
    <row r="35" spans="2:31" ht="10.5">
      <c r="B35" s="29"/>
      <c r="D35" s="29"/>
      <c r="E35" s="49"/>
      <c r="F35" s="49"/>
      <c r="G35" s="50"/>
      <c r="H35" s="58"/>
      <c r="I35" s="65"/>
      <c r="J35" s="65"/>
      <c r="K35" s="65"/>
      <c r="L35" s="65"/>
      <c r="M35" s="65"/>
      <c r="N35" s="49"/>
      <c r="O35" s="66"/>
      <c r="P35" s="66"/>
      <c r="Q35" s="66"/>
      <c r="R35" s="66"/>
      <c r="S35" s="66"/>
      <c r="T35" s="66"/>
      <c r="U35" s="52"/>
      <c r="V35" s="52"/>
      <c r="W35" s="52"/>
      <c r="X35" s="66"/>
      <c r="Y35" s="66"/>
      <c r="Z35" s="66"/>
      <c r="AA35" s="66"/>
      <c r="AB35" s="66"/>
      <c r="AC35" s="66"/>
      <c r="AD35" s="59"/>
      <c r="AE35" s="29"/>
    </row>
    <row r="36" spans="1:32" ht="10.5">
      <c r="A36" s="29"/>
      <c r="E36" s="49"/>
      <c r="F36" s="67"/>
      <c r="G36" s="68"/>
      <c r="N36" s="69"/>
      <c r="O36" s="70"/>
      <c r="P36" s="70"/>
      <c r="Q36" s="70"/>
      <c r="R36" s="70"/>
      <c r="S36" s="70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62"/>
      <c r="AE36" s="29"/>
      <c r="AF36" s="29"/>
    </row>
    <row r="37" spans="5:31" ht="10.5">
      <c r="E37" s="45"/>
      <c r="G37" s="87"/>
      <c r="I37" s="88"/>
      <c r="J37" s="88"/>
      <c r="K37" s="88"/>
      <c r="L37" s="89"/>
      <c r="M37" s="90"/>
      <c r="N37" s="90"/>
      <c r="O37" s="91"/>
      <c r="P37" s="91"/>
      <c r="Q37" s="91"/>
      <c r="R37" s="91"/>
      <c r="S37" s="91"/>
      <c r="T37" s="91"/>
      <c r="U37" s="71"/>
      <c r="V37" s="71"/>
      <c r="W37" s="71"/>
      <c r="X37" s="71"/>
      <c r="Y37" s="71"/>
      <c r="Z37" s="71"/>
      <c r="AA37" s="71"/>
      <c r="AB37" s="71"/>
      <c r="AC37" s="71"/>
      <c r="AD37" s="63"/>
      <c r="AE37" s="29"/>
    </row>
    <row r="38" spans="1:30" ht="10.5">
      <c r="A38" s="36"/>
      <c r="B38" s="2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1.25">
      <c r="A39" s="117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3:7" ht="10.5">
      <c r="C40" s="86"/>
      <c r="D40" s="118"/>
      <c r="F40" s="19"/>
      <c r="G40" s="19"/>
    </row>
    <row r="41" spans="3:7" ht="11.25">
      <c r="C41" s="119"/>
      <c r="D41" s="118"/>
      <c r="F41" s="19"/>
      <c r="G41" s="19"/>
    </row>
    <row r="42" spans="3:7" ht="10.5">
      <c r="C42" s="86"/>
      <c r="D42" s="118"/>
      <c r="F42" s="19"/>
      <c r="G42" s="19"/>
    </row>
    <row r="43" spans="3:7" ht="10.5">
      <c r="C43" s="86"/>
      <c r="D43" s="118"/>
      <c r="F43" s="19"/>
      <c r="G43" s="19"/>
    </row>
    <row r="44" spans="3:7" ht="10.5">
      <c r="C44" s="86"/>
      <c r="D44" s="118"/>
      <c r="F44" s="19"/>
      <c r="G44" s="19"/>
    </row>
    <row r="45" spans="3:22" ht="10.5">
      <c r="C45" s="86"/>
      <c r="D45" s="118"/>
      <c r="E45" s="23"/>
      <c r="F45" s="19"/>
      <c r="G45" s="19"/>
      <c r="M45" s="23"/>
      <c r="V45" s="92"/>
    </row>
    <row r="46" spans="4:30" ht="10.5">
      <c r="D46" s="118"/>
      <c r="F46" s="19"/>
      <c r="G46" s="19"/>
      <c r="V46" s="92"/>
      <c r="W46" s="92"/>
      <c r="X46" s="92"/>
      <c r="Y46" s="92"/>
      <c r="Z46" s="92"/>
      <c r="AA46" s="92"/>
      <c r="AB46" s="92"/>
      <c r="AC46" s="92"/>
      <c r="AD46" s="92"/>
    </row>
    <row r="47" spans="3:30" ht="10.5">
      <c r="C47" s="86"/>
      <c r="E47" s="25"/>
      <c r="F47" s="19"/>
      <c r="G47" s="19"/>
      <c r="W47" s="92"/>
      <c r="X47" s="92"/>
      <c r="Y47" s="92"/>
      <c r="Z47" s="92"/>
      <c r="AA47" s="92"/>
      <c r="AB47" s="92"/>
      <c r="AC47" s="92"/>
      <c r="AD47" s="92"/>
    </row>
    <row r="48" spans="5:7" ht="10.5">
      <c r="E48" s="24"/>
      <c r="F48" s="93"/>
      <c r="G48" s="93"/>
    </row>
    <row r="49" spans="5:16" ht="10.5">
      <c r="E49" s="24"/>
      <c r="F49" s="93"/>
      <c r="G49" s="93"/>
      <c r="H49" s="24"/>
      <c r="O49" s="24"/>
      <c r="P49" s="24"/>
    </row>
    <row r="50" spans="2:8" ht="10.5">
      <c r="B50" s="29" t="s">
        <v>1</v>
      </c>
      <c r="E50" s="29" t="s">
        <v>1</v>
      </c>
      <c r="H50" s="24"/>
    </row>
    <row r="51" spans="2:16" ht="10.5">
      <c r="B51" s="29" t="s">
        <v>1</v>
      </c>
      <c r="C51" s="29" t="s">
        <v>1</v>
      </c>
      <c r="E51" s="24"/>
      <c r="F51" s="93"/>
      <c r="G51" s="93"/>
      <c r="H51" s="24"/>
      <c r="I51" s="24"/>
      <c r="J51" s="24"/>
      <c r="K51" s="24"/>
      <c r="L51" s="24"/>
      <c r="M51" s="24"/>
      <c r="N51" s="24"/>
      <c r="O51" s="24"/>
      <c r="P51" s="24"/>
    </row>
    <row r="52" spans="5:16" ht="10.5">
      <c r="E52" s="24"/>
      <c r="F52" s="93"/>
      <c r="G52" s="93"/>
      <c r="H52" s="24"/>
      <c r="I52" s="24"/>
      <c r="J52" s="24"/>
      <c r="K52" s="24"/>
      <c r="L52" s="24"/>
      <c r="M52" s="24"/>
      <c r="N52" s="24"/>
      <c r="O52" s="24"/>
      <c r="P52" s="24"/>
    </row>
    <row r="55" spans="35:37" ht="10.5">
      <c r="AI55" s="92"/>
      <c r="AJ55" s="92"/>
      <c r="AK55" s="92"/>
    </row>
    <row r="56" spans="35:37" ht="10.5">
      <c r="AI56" s="24"/>
      <c r="AJ56" s="24"/>
      <c r="AK56" s="24"/>
    </row>
    <row r="57" spans="8:37" ht="10.5">
      <c r="H57" s="24"/>
      <c r="AI57" s="24"/>
      <c r="AJ57" s="24"/>
      <c r="AK57" s="24"/>
    </row>
    <row r="58" ht="10.5">
      <c r="H58" s="24"/>
    </row>
    <row r="59" ht="10.5">
      <c r="H59" s="24"/>
    </row>
    <row r="63" spans="5:11" ht="10.5">
      <c r="E63" s="30"/>
      <c r="F63" s="94"/>
      <c r="G63" s="95"/>
      <c r="H63" s="30"/>
      <c r="I63" s="96"/>
      <c r="J63" s="30"/>
      <c r="K63" s="97"/>
    </row>
    <row r="64" spans="5:11" ht="10.5">
      <c r="E64" s="33"/>
      <c r="F64" s="98"/>
      <c r="G64" s="98"/>
      <c r="H64" s="31"/>
      <c r="I64" s="31"/>
      <c r="J64" s="31"/>
      <c r="K64" s="99"/>
    </row>
    <row r="65" spans="5:31" ht="10.5">
      <c r="E65" s="33"/>
      <c r="F65" s="100"/>
      <c r="G65" s="67"/>
      <c r="H65" s="32"/>
      <c r="I65" s="32"/>
      <c r="J65" s="33"/>
      <c r="K65" s="101"/>
      <c r="AE65" s="92"/>
    </row>
    <row r="66" spans="6:31" ht="10.5">
      <c r="F66" s="93"/>
      <c r="G66" s="93"/>
      <c r="H66" s="24"/>
      <c r="I66" s="24"/>
      <c r="J66" s="102"/>
      <c r="K66" s="101"/>
      <c r="X66" s="92"/>
      <c r="Y66" s="92"/>
      <c r="Z66" s="92"/>
      <c r="AA66" s="92"/>
      <c r="AB66" s="92"/>
      <c r="AC66" s="92"/>
      <c r="AD66" s="92"/>
      <c r="AE66" s="24"/>
    </row>
    <row r="67" spans="5:31" ht="10.5">
      <c r="E67" s="37"/>
      <c r="F67" s="93"/>
      <c r="G67" s="93"/>
      <c r="H67" s="24"/>
      <c r="I67" s="24"/>
      <c r="J67" s="102"/>
      <c r="K67" s="101"/>
      <c r="M67" s="32"/>
      <c r="N67" s="32"/>
      <c r="P67" s="33"/>
      <c r="Q67" s="31" t="s">
        <v>1</v>
      </c>
      <c r="X67" s="24"/>
      <c r="Y67" s="24"/>
      <c r="Z67" s="24"/>
      <c r="AA67" s="24"/>
      <c r="AB67" s="24"/>
      <c r="AC67" s="24"/>
      <c r="AD67" s="24"/>
      <c r="AE67" s="24"/>
    </row>
    <row r="68" spans="5:31" ht="10.5">
      <c r="E68" s="37"/>
      <c r="F68" s="93"/>
      <c r="G68" s="93"/>
      <c r="H68" s="24"/>
      <c r="I68" s="24"/>
      <c r="J68" s="102"/>
      <c r="K68" s="101"/>
      <c r="M68" s="32"/>
      <c r="N68" s="32"/>
      <c r="P68" s="32"/>
      <c r="X68" s="24"/>
      <c r="Y68" s="24"/>
      <c r="Z68" s="24"/>
      <c r="AA68" s="24"/>
      <c r="AB68" s="24"/>
      <c r="AC68" s="24"/>
      <c r="AD68" s="24"/>
      <c r="AE68" s="24"/>
    </row>
    <row r="69" spans="5:31" ht="10.5">
      <c r="E69" s="37"/>
      <c r="F69" s="93"/>
      <c r="G69" s="103"/>
      <c r="H69" s="33"/>
      <c r="I69" s="33"/>
      <c r="J69" s="37"/>
      <c r="K69" s="104"/>
      <c r="M69" s="32"/>
      <c r="N69" s="32"/>
      <c r="Q69" s="105" t="s">
        <v>1</v>
      </c>
      <c r="R69" s="106" t="s">
        <v>1</v>
      </c>
      <c r="X69" s="24"/>
      <c r="Y69" s="24"/>
      <c r="Z69" s="24"/>
      <c r="AA69" s="24"/>
      <c r="AB69" s="24"/>
      <c r="AC69" s="24"/>
      <c r="AD69" s="24"/>
      <c r="AE69" s="24"/>
    </row>
    <row r="70" spans="5:32" ht="10.5">
      <c r="E70" s="37"/>
      <c r="F70" s="93"/>
      <c r="G70" s="93"/>
      <c r="H70" s="24"/>
      <c r="I70" s="24"/>
      <c r="J70" s="24"/>
      <c r="K70" s="101"/>
      <c r="M70" s="32"/>
      <c r="N70" s="32"/>
      <c r="Q70" s="105" t="s">
        <v>1</v>
      </c>
      <c r="X70" s="24"/>
      <c r="Y70" s="24"/>
      <c r="Z70" s="24"/>
      <c r="AA70" s="24"/>
      <c r="AB70" s="24"/>
      <c r="AC70" s="24"/>
      <c r="AD70" s="24"/>
      <c r="AE70" s="24"/>
      <c r="AF70" s="92"/>
    </row>
    <row r="71" spans="5:33" ht="10.5">
      <c r="E71" s="37"/>
      <c r="F71" s="93"/>
      <c r="G71" s="93"/>
      <c r="H71" s="24"/>
      <c r="I71" s="24"/>
      <c r="J71" s="24"/>
      <c r="K71" s="101"/>
      <c r="M71" s="32"/>
      <c r="N71" s="32"/>
      <c r="Q71" s="105" t="s">
        <v>1</v>
      </c>
      <c r="X71" s="24"/>
      <c r="Y71" s="24"/>
      <c r="Z71" s="24"/>
      <c r="AA71" s="24"/>
      <c r="AB71" s="24"/>
      <c r="AC71" s="24"/>
      <c r="AD71" s="24"/>
      <c r="AE71" s="24"/>
      <c r="AF71" s="24"/>
      <c r="AG71" s="92"/>
    </row>
    <row r="72" spans="5:33" ht="10.5">
      <c r="E72" s="37"/>
      <c r="F72" s="93"/>
      <c r="G72" s="93"/>
      <c r="H72" s="24"/>
      <c r="I72" s="24"/>
      <c r="J72" s="24"/>
      <c r="K72" s="101"/>
      <c r="M72" s="32"/>
      <c r="N72" s="32"/>
      <c r="Q72" s="32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5:33" ht="10.5">
      <c r="E73" s="37"/>
      <c r="F73" s="93"/>
      <c r="G73" s="93"/>
      <c r="H73" s="24"/>
      <c r="I73" s="24"/>
      <c r="J73" s="24"/>
      <c r="K73" s="101"/>
      <c r="L73" s="24"/>
      <c r="M73" s="32"/>
      <c r="N73" s="32"/>
      <c r="Q73" s="32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5:33" ht="10.5">
      <c r="E74" s="33"/>
      <c r="F74" s="93"/>
      <c r="G74" s="103"/>
      <c r="H74" s="33"/>
      <c r="I74" s="33"/>
      <c r="J74" s="37"/>
      <c r="M74" s="32"/>
      <c r="N74" s="32"/>
      <c r="Q74" s="32"/>
      <c r="X74" s="24"/>
      <c r="Y74" s="24"/>
      <c r="Z74" s="24"/>
      <c r="AA74" s="24"/>
      <c r="AB74" s="24"/>
      <c r="AC74" s="24"/>
      <c r="AD74" s="24"/>
      <c r="AF74" s="24"/>
      <c r="AG74" s="24"/>
    </row>
    <row r="75" spans="5:33" ht="10.5">
      <c r="E75" s="37"/>
      <c r="F75" s="93"/>
      <c r="G75" s="103"/>
      <c r="H75" s="24"/>
      <c r="I75" s="24"/>
      <c r="J75" s="24"/>
      <c r="K75" s="101"/>
      <c r="M75" s="32"/>
      <c r="N75" s="32"/>
      <c r="Q75" s="32"/>
      <c r="AF75" s="24"/>
      <c r="AG75" s="24"/>
    </row>
    <row r="76" spans="5:33" ht="10.5">
      <c r="E76" s="33"/>
      <c r="F76" s="93"/>
      <c r="G76" s="103"/>
      <c r="H76" s="33"/>
      <c r="I76" s="33"/>
      <c r="J76" s="37"/>
      <c r="K76" s="104"/>
      <c r="M76" s="32"/>
      <c r="N76" s="32"/>
      <c r="Q76" s="32"/>
      <c r="AF76" s="24"/>
      <c r="AG76" s="24"/>
    </row>
    <row r="77" spans="5:33" ht="10.5">
      <c r="E77" s="37"/>
      <c r="F77" s="93"/>
      <c r="G77" s="93"/>
      <c r="H77" s="24"/>
      <c r="I77" s="24"/>
      <c r="J77" s="107"/>
      <c r="K77" s="104"/>
      <c r="M77" s="32"/>
      <c r="N77" s="32"/>
      <c r="Q77" s="32"/>
      <c r="AF77" s="24"/>
      <c r="AG77" s="24"/>
    </row>
    <row r="78" spans="5:33" ht="10.5">
      <c r="E78" s="37"/>
      <c r="F78" s="93"/>
      <c r="G78" s="93"/>
      <c r="H78" s="24"/>
      <c r="I78" s="24"/>
      <c r="J78" s="24"/>
      <c r="K78" s="104"/>
      <c r="M78" s="32"/>
      <c r="N78" s="32"/>
      <c r="Q78" s="32"/>
      <c r="AF78" s="24"/>
      <c r="AG78" s="24"/>
    </row>
    <row r="79" spans="5:33" ht="10.5">
      <c r="E79" s="37"/>
      <c r="F79" s="93"/>
      <c r="G79" s="93"/>
      <c r="H79" s="24"/>
      <c r="I79" s="24"/>
      <c r="J79" s="24"/>
      <c r="K79" s="104"/>
      <c r="L79" s="92"/>
      <c r="M79" s="32"/>
      <c r="N79" s="32"/>
      <c r="Q79" s="32"/>
      <c r="AG79" s="24"/>
    </row>
    <row r="80" spans="2:17" ht="10.5">
      <c r="B80" s="29" t="s">
        <v>1</v>
      </c>
      <c r="E80" s="37"/>
      <c r="F80" s="93"/>
      <c r="G80" s="93"/>
      <c r="H80" s="24"/>
      <c r="I80" s="24"/>
      <c r="J80" s="24"/>
      <c r="K80" s="104"/>
      <c r="M80" s="32"/>
      <c r="N80" s="32"/>
      <c r="Q80" s="32"/>
    </row>
    <row r="81" spans="2:17" ht="10.5">
      <c r="B81" s="105" t="s">
        <v>1</v>
      </c>
      <c r="E81" s="34"/>
      <c r="F81" s="108"/>
      <c r="G81" s="109"/>
      <c r="H81" s="34"/>
      <c r="I81" s="34"/>
      <c r="J81" s="34"/>
      <c r="K81" s="110"/>
      <c r="M81" s="32"/>
      <c r="N81" s="32"/>
      <c r="Q81" s="32"/>
    </row>
    <row r="82" spans="2:17" ht="10.5">
      <c r="B82" s="105" t="s">
        <v>1</v>
      </c>
      <c r="C82" s="120"/>
      <c r="M82" s="32"/>
      <c r="N82" s="32"/>
      <c r="Q82" s="32"/>
    </row>
    <row r="83" spans="2:17" ht="10.5">
      <c r="B83" s="29" t="s">
        <v>1</v>
      </c>
      <c r="C83" s="120"/>
      <c r="M83" s="32"/>
      <c r="N83" s="32"/>
      <c r="Q83" s="32"/>
    </row>
    <row r="84" spans="13:17" ht="10.5">
      <c r="M84" s="32"/>
      <c r="N84" s="32"/>
      <c r="P84" s="32"/>
      <c r="Q84" s="32"/>
    </row>
    <row r="85" spans="2:3" ht="10.5">
      <c r="B85" s="29" t="s">
        <v>1</v>
      </c>
      <c r="C85" s="120"/>
    </row>
  </sheetData>
  <mergeCells count="1">
    <mergeCell ref="AE3:AF3"/>
  </mergeCells>
  <printOptions/>
  <pageMargins left="0.75" right="0.43" top="0.5" bottom="0.5" header="0.5" footer="0.5"/>
  <pageSetup horizontalDpi="600" verticalDpi="600" orientation="landscape" pageOrder="overThenDown" r:id="rId1"/>
  <headerFooter alignWithMargins="0"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4" max="4" width="11.7109375" style="0" customWidth="1"/>
    <col min="8" max="8" width="5.8515625" style="0" customWidth="1"/>
    <col min="9" max="9" width="18.7109375" style="0" customWidth="1"/>
  </cols>
  <sheetData>
    <row r="1" spans="1:10" ht="30.75">
      <c r="A1" s="142"/>
      <c r="B1" s="143"/>
      <c r="C1" s="144" t="s">
        <v>168</v>
      </c>
      <c r="D1" s="143"/>
      <c r="E1" s="145"/>
      <c r="F1" s="142"/>
      <c r="G1" s="146"/>
      <c r="H1" s="147"/>
      <c r="I1" s="143"/>
      <c r="J1" s="148"/>
    </row>
    <row r="2" spans="1:10" ht="12.75">
      <c r="A2" s="149"/>
      <c r="B2" s="150" t="s">
        <v>140</v>
      </c>
      <c r="C2" s="151"/>
      <c r="D2" s="151"/>
      <c r="E2" s="152" t="s">
        <v>179</v>
      </c>
      <c r="F2" s="153" t="s">
        <v>141</v>
      </c>
      <c r="G2" s="154" t="s">
        <v>142</v>
      </c>
      <c r="H2" s="155"/>
      <c r="I2" s="156" t="s">
        <v>143</v>
      </c>
      <c r="J2" s="157">
        <v>83</v>
      </c>
    </row>
    <row r="3" spans="1:10" ht="12.75">
      <c r="A3" s="149"/>
      <c r="B3" s="158" t="s">
        <v>144</v>
      </c>
      <c r="C3" s="151"/>
      <c r="D3" s="151"/>
      <c r="E3" s="159" t="s">
        <v>169</v>
      </c>
      <c r="F3" s="160" t="s">
        <v>145</v>
      </c>
      <c r="G3" s="161">
        <v>8000</v>
      </c>
      <c r="H3" s="147"/>
      <c r="I3" s="162" t="s">
        <v>166</v>
      </c>
      <c r="J3" s="163">
        <v>13.4</v>
      </c>
    </row>
    <row r="4" spans="1:10" ht="12.75">
      <c r="A4" s="149"/>
      <c r="B4" s="158" t="s">
        <v>162</v>
      </c>
      <c r="C4" s="151"/>
      <c r="D4" s="151"/>
      <c r="E4" s="164">
        <v>3300</v>
      </c>
      <c r="F4" s="160" t="s">
        <v>146</v>
      </c>
      <c r="G4" s="161">
        <v>18150</v>
      </c>
      <c r="H4" s="147"/>
      <c r="I4" s="162" t="s">
        <v>147</v>
      </c>
      <c r="J4" s="148">
        <v>5.5</v>
      </c>
    </row>
    <row r="5" spans="1:10" ht="12.75">
      <c r="A5" s="149"/>
      <c r="B5" s="158" t="s">
        <v>1</v>
      </c>
      <c r="C5" s="158" t="s">
        <v>165</v>
      </c>
      <c r="D5" s="151"/>
      <c r="E5" s="164">
        <v>915</v>
      </c>
      <c r="F5" s="160" t="s">
        <v>146</v>
      </c>
      <c r="G5" s="161">
        <v>5032.5</v>
      </c>
      <c r="H5" s="165" t="s">
        <v>1</v>
      </c>
      <c r="I5" s="162" t="s">
        <v>148</v>
      </c>
      <c r="J5" s="148">
        <v>40</v>
      </c>
    </row>
    <row r="6" spans="1:10" ht="12.75">
      <c r="A6" s="149"/>
      <c r="B6" s="158" t="s">
        <v>1</v>
      </c>
      <c r="C6" s="158" t="s">
        <v>163</v>
      </c>
      <c r="D6" s="151"/>
      <c r="E6" s="164">
        <v>253</v>
      </c>
      <c r="F6" s="160" t="s">
        <v>146</v>
      </c>
      <c r="G6" s="161">
        <v>1391.5</v>
      </c>
      <c r="H6" s="165" t="s">
        <v>1</v>
      </c>
      <c r="I6" s="162" t="s">
        <v>149</v>
      </c>
      <c r="J6" s="148">
        <v>6</v>
      </c>
    </row>
    <row r="7" spans="1:10" ht="12.75">
      <c r="A7" s="149"/>
      <c r="B7" s="158" t="s">
        <v>1</v>
      </c>
      <c r="C7" s="158" t="s">
        <v>164</v>
      </c>
      <c r="D7" s="151"/>
      <c r="E7" s="164">
        <v>750</v>
      </c>
      <c r="F7" s="160" t="s">
        <v>146</v>
      </c>
      <c r="G7" s="161">
        <v>4125</v>
      </c>
      <c r="H7" s="165" t="s">
        <v>1</v>
      </c>
      <c r="I7" s="162" t="s">
        <v>150</v>
      </c>
      <c r="J7" s="148">
        <v>12000</v>
      </c>
    </row>
    <row r="8" spans="1:10" ht="12.75">
      <c r="A8" s="149"/>
      <c r="B8" s="158" t="s">
        <v>1</v>
      </c>
      <c r="C8" s="158" t="s">
        <v>151</v>
      </c>
      <c r="D8" s="151"/>
      <c r="E8" s="164">
        <v>202</v>
      </c>
      <c r="F8" s="160" t="s">
        <v>146</v>
      </c>
      <c r="G8" s="161">
        <v>1111</v>
      </c>
      <c r="H8" s="165"/>
      <c r="I8" s="148"/>
      <c r="J8" s="148"/>
    </row>
    <row r="9" spans="1:10" ht="12.75">
      <c r="A9" s="149"/>
      <c r="B9" s="166" t="s">
        <v>180</v>
      </c>
      <c r="C9" s="158"/>
      <c r="D9" s="151"/>
      <c r="E9" s="167">
        <v>750</v>
      </c>
      <c r="F9" s="168" t="s">
        <v>146</v>
      </c>
      <c r="G9" s="161">
        <v>4125</v>
      </c>
      <c r="H9" s="165"/>
      <c r="I9" s="162" t="s">
        <v>152</v>
      </c>
      <c r="J9" s="148">
        <v>372</v>
      </c>
    </row>
    <row r="10" spans="1:10" ht="12.75">
      <c r="A10" s="149"/>
      <c r="B10" s="158" t="s">
        <v>153</v>
      </c>
      <c r="C10" s="151"/>
      <c r="D10" s="151"/>
      <c r="E10" s="167">
        <v>20</v>
      </c>
      <c r="F10" s="160" t="s">
        <v>146</v>
      </c>
      <c r="G10" s="169">
        <v>110</v>
      </c>
      <c r="H10" s="147"/>
      <c r="I10" s="148"/>
      <c r="J10" s="148"/>
    </row>
    <row r="11" spans="1:10" ht="12.75">
      <c r="A11" s="149"/>
      <c r="B11" s="166" t="s">
        <v>172</v>
      </c>
      <c r="C11" s="151"/>
      <c r="D11" s="151"/>
      <c r="E11" s="167">
        <v>451</v>
      </c>
      <c r="F11" s="168" t="s">
        <v>146</v>
      </c>
      <c r="G11" s="169">
        <v>2480</v>
      </c>
      <c r="H11" s="147"/>
      <c r="I11" s="162" t="s">
        <v>155</v>
      </c>
      <c r="J11" s="148">
        <v>9</v>
      </c>
    </row>
    <row r="12" spans="1:10" ht="12.75">
      <c r="A12" s="149"/>
      <c r="B12" s="151"/>
      <c r="C12" s="151"/>
      <c r="D12" s="151"/>
      <c r="E12" s="167"/>
      <c r="F12" s="170"/>
      <c r="G12" s="169"/>
      <c r="H12" s="147"/>
      <c r="I12" s="148"/>
      <c r="J12" s="148"/>
    </row>
    <row r="13" spans="1:10" ht="12.75">
      <c r="A13" s="149"/>
      <c r="B13" s="166" t="s">
        <v>170</v>
      </c>
      <c r="C13" s="151"/>
      <c r="D13" s="158"/>
      <c r="E13" s="167">
        <v>1400</v>
      </c>
      <c r="F13" s="168" t="s">
        <v>146</v>
      </c>
      <c r="G13" s="169">
        <v>7700</v>
      </c>
      <c r="H13" s="147"/>
      <c r="I13" s="148"/>
      <c r="J13" s="148"/>
    </row>
    <row r="14" spans="1:10" ht="12.75">
      <c r="A14" s="149"/>
      <c r="B14" s="166" t="s">
        <v>177</v>
      </c>
      <c r="C14" s="151"/>
      <c r="D14" s="151"/>
      <c r="E14" s="167">
        <v>750</v>
      </c>
      <c r="F14" s="168" t="s">
        <v>173</v>
      </c>
      <c r="G14" s="169">
        <v>16500</v>
      </c>
      <c r="H14" s="147"/>
      <c r="I14" s="148"/>
      <c r="J14" s="148"/>
    </row>
    <row r="15" spans="1:10" ht="12.75">
      <c r="A15" s="149"/>
      <c r="B15" s="158" t="s">
        <v>156</v>
      </c>
      <c r="C15" s="151"/>
      <c r="D15" s="151"/>
      <c r="E15" s="167">
        <v>587.5</v>
      </c>
      <c r="F15" s="168" t="s">
        <v>178</v>
      </c>
      <c r="G15" s="169">
        <v>1125</v>
      </c>
      <c r="H15" s="147"/>
      <c r="I15" s="148"/>
      <c r="J15" s="148"/>
    </row>
    <row r="16" spans="1:10" ht="12.75">
      <c r="A16" s="149"/>
      <c r="B16" s="166" t="s">
        <v>174</v>
      </c>
      <c r="C16" s="151"/>
      <c r="D16" s="151"/>
      <c r="E16" s="167">
        <v>88</v>
      </c>
      <c r="F16" s="160" t="s">
        <v>157</v>
      </c>
      <c r="G16" s="171">
        <v>7304</v>
      </c>
      <c r="H16" s="147"/>
      <c r="I16" s="148"/>
      <c r="J16" s="148"/>
    </row>
    <row r="17" spans="1:10" ht="12.75">
      <c r="A17" s="149"/>
      <c r="B17" s="151"/>
      <c r="C17" s="158" t="s">
        <v>158</v>
      </c>
      <c r="D17" s="151"/>
      <c r="E17" s="167" t="s">
        <v>1</v>
      </c>
      <c r="F17" s="170"/>
      <c r="G17" s="169">
        <v>77154</v>
      </c>
      <c r="H17" s="147"/>
      <c r="I17" s="148"/>
      <c r="J17" s="148"/>
    </row>
    <row r="18" spans="1:10" ht="12.75">
      <c r="A18" s="149"/>
      <c r="B18" s="150" t="s">
        <v>159</v>
      </c>
      <c r="C18" s="151"/>
      <c r="D18" s="151"/>
      <c r="E18" s="167"/>
      <c r="F18" s="170"/>
      <c r="G18" s="169"/>
      <c r="H18" s="172"/>
      <c r="I18" s="148"/>
      <c r="J18" s="148"/>
    </row>
    <row r="19" spans="1:10" ht="12.75">
      <c r="A19" s="149"/>
      <c r="B19" s="173" t="s">
        <v>181</v>
      </c>
      <c r="C19" s="151"/>
      <c r="D19" s="151"/>
      <c r="E19" s="167">
        <v>84</v>
      </c>
      <c r="F19" s="174" t="s">
        <v>154</v>
      </c>
      <c r="G19" s="169">
        <v>420</v>
      </c>
      <c r="H19" s="147"/>
      <c r="I19" s="148"/>
      <c r="J19" s="148"/>
    </row>
    <row r="20" spans="1:10" ht="12.75">
      <c r="A20" s="151"/>
      <c r="B20" s="166" t="s">
        <v>176</v>
      </c>
      <c r="C20" s="151"/>
      <c r="D20" s="151"/>
      <c r="E20" s="167" t="s">
        <v>1</v>
      </c>
      <c r="F20" s="160" t="s">
        <v>1</v>
      </c>
      <c r="G20" s="169">
        <v>1000</v>
      </c>
      <c r="H20" s="147"/>
      <c r="I20" s="148"/>
      <c r="J20" s="148"/>
    </row>
    <row r="21" spans="1:10" ht="12.75">
      <c r="A21" s="151"/>
      <c r="B21" s="166" t="s">
        <v>171</v>
      </c>
      <c r="C21" s="158"/>
      <c r="D21" s="151"/>
      <c r="E21" s="167" t="s">
        <v>1</v>
      </c>
      <c r="F21" s="170"/>
      <c r="G21" s="169">
        <v>300.2</v>
      </c>
      <c r="H21" s="147"/>
      <c r="I21" s="148"/>
      <c r="J21" s="148"/>
    </row>
    <row r="22" spans="1:10" ht="12.75">
      <c r="A22" s="151"/>
      <c r="B22" s="175" t="s">
        <v>167</v>
      </c>
      <c r="C22" s="151"/>
      <c r="D22" s="151"/>
      <c r="E22" s="176"/>
      <c r="F22" s="170"/>
      <c r="G22" s="171">
        <v>3800</v>
      </c>
      <c r="H22" s="172"/>
      <c r="I22" s="148"/>
      <c r="J22" s="148"/>
    </row>
    <row r="23" spans="1:10" ht="12.75">
      <c r="A23" s="151"/>
      <c r="B23" s="150" t="s">
        <v>175</v>
      </c>
      <c r="C23" s="151"/>
      <c r="D23" s="151"/>
      <c r="E23" s="176"/>
      <c r="F23" s="170"/>
      <c r="G23" s="169">
        <v>5520.2</v>
      </c>
      <c r="H23" s="147"/>
      <c r="I23" s="148"/>
      <c r="J23" s="148"/>
    </row>
    <row r="24" spans="1:10" ht="12.75">
      <c r="A24" s="151"/>
      <c r="B24" s="158"/>
      <c r="C24" s="158"/>
      <c r="D24" s="177"/>
      <c r="E24" s="167"/>
      <c r="F24" s="170"/>
      <c r="G24" s="169"/>
      <c r="H24" s="147"/>
      <c r="I24" s="148"/>
      <c r="J24" s="148"/>
    </row>
    <row r="25" spans="1:10" ht="12.75">
      <c r="A25" s="151"/>
      <c r="B25" s="151"/>
      <c r="C25" s="158"/>
      <c r="D25" s="177"/>
      <c r="E25" s="164"/>
      <c r="F25" s="170"/>
      <c r="G25" s="169"/>
      <c r="H25" s="147"/>
      <c r="I25" s="148"/>
      <c r="J25" s="148"/>
    </row>
    <row r="26" spans="1:10" ht="12.75">
      <c r="A26" s="151"/>
      <c r="B26" s="151"/>
      <c r="C26" s="151"/>
      <c r="D26" s="151"/>
      <c r="E26" s="154" t="s">
        <v>160</v>
      </c>
      <c r="F26" s="170"/>
      <c r="G26" s="169">
        <v>82674.2</v>
      </c>
      <c r="H26" s="178">
        <v>15031.672727272728</v>
      </c>
      <c r="I26" s="156" t="s">
        <v>161</v>
      </c>
      <c r="J26" s="14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7">
      <selection activeCell="H6" sqref="H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10.421875" style="0" customWidth="1"/>
    <col min="6" max="6" width="6.7109375" style="0" customWidth="1"/>
    <col min="7" max="7" width="6.8515625" style="0" customWidth="1"/>
    <col min="8" max="8" width="10.7109375" style="0" customWidth="1"/>
    <col min="9" max="9" width="10.8515625" style="0" customWidth="1"/>
    <col min="10" max="10" width="11.00390625" style="0" customWidth="1"/>
  </cols>
  <sheetData>
    <row r="1" ht="18">
      <c r="B1" s="179" t="s">
        <v>182</v>
      </c>
    </row>
    <row r="2" spans="2:8" ht="12.75">
      <c r="B2" s="180" t="s">
        <v>1</v>
      </c>
      <c r="C2" s="181" t="s">
        <v>1</v>
      </c>
      <c r="D2" s="181" t="s">
        <v>1</v>
      </c>
      <c r="E2" s="181" t="s">
        <v>1</v>
      </c>
      <c r="F2" s="181"/>
      <c r="G2" s="181" t="s">
        <v>1</v>
      </c>
      <c r="H2" s="182" t="s">
        <v>1</v>
      </c>
    </row>
    <row r="3" spans="1:8" ht="12.75">
      <c r="A3" s="183" t="s">
        <v>183</v>
      </c>
      <c r="C3" t="s">
        <v>1</v>
      </c>
      <c r="E3" t="s">
        <v>184</v>
      </c>
      <c r="F3" t="s">
        <v>185</v>
      </c>
      <c r="G3" t="s">
        <v>1</v>
      </c>
      <c r="H3" t="s">
        <v>186</v>
      </c>
    </row>
    <row r="4" spans="2:8" ht="12.75">
      <c r="B4" t="s">
        <v>187</v>
      </c>
      <c r="C4" s="184">
        <f>'[1]CAPCOST'!$B$7*365*'[1]CAPCOST'!$B$5/2*2*0.0022</f>
        <v>578160</v>
      </c>
      <c r="D4" t="s">
        <v>188</v>
      </c>
      <c r="H4" s="185">
        <f>C4</f>
        <v>578160</v>
      </c>
    </row>
    <row r="5" spans="1:8" ht="12.75">
      <c r="A5" t="s">
        <v>189</v>
      </c>
      <c r="B5" t="s">
        <v>190</v>
      </c>
      <c r="E5">
        <v>15</v>
      </c>
      <c r="H5" s="184">
        <f>E5*44000*$D$34</f>
        <v>990000</v>
      </c>
    </row>
    <row r="6" spans="2:8" ht="12.75">
      <c r="B6" t="s">
        <v>191</v>
      </c>
      <c r="E6">
        <v>3</v>
      </c>
      <c r="H6" s="184">
        <f>E6*35000*$D$34</f>
        <v>157500</v>
      </c>
    </row>
    <row r="7" spans="2:8" ht="12.75">
      <c r="B7" t="s">
        <v>192</v>
      </c>
      <c r="E7">
        <v>8</v>
      </c>
      <c r="H7" s="184">
        <f>E7*30000*$D$34</f>
        <v>360000</v>
      </c>
    </row>
    <row r="8" spans="2:10" ht="12.75">
      <c r="B8" t="s">
        <v>193</v>
      </c>
      <c r="H8" s="184"/>
      <c r="I8" s="185">
        <f>SUM(H5:H7)</f>
        <v>1507500</v>
      </c>
      <c r="J8" t="s">
        <v>194</v>
      </c>
    </row>
    <row r="9" spans="2:10" ht="12.75">
      <c r="B9" t="s">
        <v>195</v>
      </c>
      <c r="C9" s="184" t="s">
        <v>1</v>
      </c>
      <c r="D9" t="s">
        <v>1</v>
      </c>
      <c r="H9" s="184" t="str">
        <f>C9</f>
        <v> </v>
      </c>
      <c r="I9" s="185">
        <f>H4+H10+H11</f>
        <v>2541273.75</v>
      </c>
      <c r="J9" t="s">
        <v>196</v>
      </c>
    </row>
    <row r="10" spans="1:8" ht="12.75">
      <c r="A10" t="s">
        <v>1</v>
      </c>
      <c r="B10" t="s">
        <v>197</v>
      </c>
      <c r="C10" s="184">
        <f>0.01*'[1]CAPCOST'!$B$16*1000</f>
        <v>1268991</v>
      </c>
      <c r="H10" s="184">
        <f>C10</f>
        <v>1268991</v>
      </c>
    </row>
    <row r="11" spans="1:8" ht="12.75">
      <c r="A11" t="s">
        <v>1</v>
      </c>
      <c r="B11" t="s">
        <v>198</v>
      </c>
      <c r="H11" s="193">
        <f>0.25*SUM(H10+H7+H6+H5)</f>
        <v>694122.75</v>
      </c>
    </row>
    <row r="12" spans="3:10" ht="12.75">
      <c r="C12" t="s">
        <v>199</v>
      </c>
      <c r="D12" t="s">
        <v>184</v>
      </c>
      <c r="E12">
        <f>SUM(E5:E11)</f>
        <v>26</v>
      </c>
      <c r="G12" t="s">
        <v>1</v>
      </c>
      <c r="H12" s="184">
        <f>SUM(H4:H11)</f>
        <v>4048773.75</v>
      </c>
      <c r="I12" s="185">
        <f>I9+I8</f>
        <v>4048773.75</v>
      </c>
      <c r="J12" t="s">
        <v>200</v>
      </c>
    </row>
    <row r="13" ht="12.75">
      <c r="A13" s="183" t="s">
        <v>201</v>
      </c>
    </row>
    <row r="14" spans="1:8" ht="12.75">
      <c r="A14" s="183"/>
      <c r="B14" t="s">
        <v>190</v>
      </c>
      <c r="E14">
        <v>3</v>
      </c>
      <c r="H14" s="184">
        <f>E14*45000*$D$34</f>
        <v>202500</v>
      </c>
    </row>
    <row r="15" spans="1:8" ht="12.75">
      <c r="A15" s="183"/>
      <c r="B15" t="s">
        <v>202</v>
      </c>
      <c r="E15" s="186">
        <f>'[1]CAPCOST'!B6/20</f>
        <v>12</v>
      </c>
      <c r="H15" s="184">
        <f>E15*35000*$D$34</f>
        <v>630000</v>
      </c>
    </row>
    <row r="16" spans="1:8" ht="12.75">
      <c r="A16" s="183"/>
      <c r="B16" t="s">
        <v>203</v>
      </c>
      <c r="E16">
        <f>'[1]CAPCOST'!B5/10</f>
        <v>2.4</v>
      </c>
      <c r="H16" s="184">
        <f>E16*35000*$D$34</f>
        <v>126000</v>
      </c>
    </row>
    <row r="17" spans="1:8" ht="12.75">
      <c r="A17" s="183"/>
      <c r="B17" t="s">
        <v>204</v>
      </c>
      <c r="E17">
        <f>'[1]CAPCOST'!B5/10</f>
        <v>2.4</v>
      </c>
      <c r="H17" s="184">
        <f>E17*35000*$D$34</f>
        <v>126000</v>
      </c>
    </row>
    <row r="18" spans="1:8" ht="12.75">
      <c r="A18" s="183"/>
      <c r="B18" t="s">
        <v>205</v>
      </c>
      <c r="E18">
        <v>4</v>
      </c>
      <c r="H18" s="184">
        <f>E18*35000*$D$34</f>
        <v>210000</v>
      </c>
    </row>
    <row r="19" spans="1:8" ht="12.75">
      <c r="A19" s="183"/>
      <c r="B19" t="s">
        <v>206</v>
      </c>
      <c r="E19">
        <f>'[1]CAPCOST'!B9/6</f>
        <v>2.5</v>
      </c>
      <c r="H19" s="184">
        <f>E19*15000*$D$34</f>
        <v>56250</v>
      </c>
    </row>
    <row r="20" spans="1:10" ht="12.75">
      <c r="A20" s="183"/>
      <c r="B20" t="s">
        <v>207</v>
      </c>
      <c r="C20" s="184">
        <f>0.4*(H14+H15+H16+H17+H18+H19)</f>
        <v>540300</v>
      </c>
      <c r="H20" s="184">
        <f>C20</f>
        <v>540300</v>
      </c>
      <c r="I20" s="185">
        <f>SUM(H14:H19)</f>
        <v>1350750</v>
      </c>
      <c r="J20" t="s">
        <v>208</v>
      </c>
    </row>
    <row r="21" spans="1:10" ht="12.75">
      <c r="A21" s="183"/>
      <c r="B21" t="s">
        <v>220</v>
      </c>
      <c r="H21" s="193">
        <f>0.2*SUM(H14:H20)</f>
        <v>378210</v>
      </c>
      <c r="I21" s="185">
        <f>H20+H21</f>
        <v>918510</v>
      </c>
      <c r="J21" t="s">
        <v>196</v>
      </c>
    </row>
    <row r="22" spans="1:9" ht="12.75">
      <c r="A22" s="183"/>
      <c r="C22" t="s">
        <v>209</v>
      </c>
      <c r="D22" t="s">
        <v>184</v>
      </c>
      <c r="E22" s="186">
        <f>SUM(E14:E21)</f>
        <v>26.299999999999997</v>
      </c>
      <c r="G22" s="19" t="s">
        <v>210</v>
      </c>
      <c r="H22" s="185">
        <f>SUM(H14:H21)</f>
        <v>2269260</v>
      </c>
      <c r="I22" s="185">
        <f>I21+I20</f>
        <v>2269260</v>
      </c>
    </row>
    <row r="23" spans="1:8" ht="12.75">
      <c r="A23" s="183" t="s">
        <v>211</v>
      </c>
      <c r="H23" s="185"/>
    </row>
    <row r="24" spans="1:8" ht="13.5" thickBot="1">
      <c r="A24" s="183"/>
      <c r="B24" t="s">
        <v>1</v>
      </c>
      <c r="D24" s="183" t="s">
        <v>212</v>
      </c>
      <c r="H24" s="194"/>
    </row>
    <row r="25" spans="1:8" ht="13.5" thickTop="1">
      <c r="A25" t="s">
        <v>1</v>
      </c>
      <c r="B25" s="183" t="s">
        <v>213</v>
      </c>
      <c r="D25" s="183" t="s">
        <v>184</v>
      </c>
      <c r="E25" s="183">
        <f>E22+E12</f>
        <v>52.3</v>
      </c>
      <c r="F25" s="183"/>
      <c r="G25" s="183" t="s">
        <v>200</v>
      </c>
      <c r="H25" s="187">
        <f>H22+H12</f>
        <v>6318033.75</v>
      </c>
    </row>
    <row r="26" spans="1:8" ht="12.75">
      <c r="A26" t="s">
        <v>1</v>
      </c>
      <c r="C26" s="183" t="s">
        <v>214</v>
      </c>
      <c r="E26" s="183"/>
      <c r="F26" s="183"/>
      <c r="G26" s="183"/>
      <c r="H26" s="188">
        <f>H25/('[1]CAPCOST'!$B$16*1000)</f>
        <v>0.04978785310534118</v>
      </c>
    </row>
    <row r="27" spans="1:9" ht="12.75">
      <c r="A27" t="s">
        <v>1</v>
      </c>
      <c r="C27" s="183" t="s">
        <v>215</v>
      </c>
      <c r="E27" s="183"/>
      <c r="F27" s="183"/>
      <c r="G27" s="183"/>
      <c r="H27" s="189">
        <f>H25/('[1]CAPCOST'!$B$7*365*'[1]CAPCOST'!$B$5*0.7)</f>
        <v>0.03434460616438356</v>
      </c>
      <c r="I27" t="s">
        <v>13</v>
      </c>
    </row>
    <row r="28" spans="3:10" ht="12.75">
      <c r="C28" s="183" t="s">
        <v>216</v>
      </c>
      <c r="H28" s="190">
        <f>(0.1*'[1]CAPCOST'!$B$16*1000)/('[1]CAPCOST'!$B$7*365*20)</f>
        <v>0.057944794520547946</v>
      </c>
      <c r="I28" t="s">
        <v>208</v>
      </c>
      <c r="J28" s="185">
        <f>I20+I8</f>
        <v>2858250</v>
      </c>
    </row>
    <row r="29" spans="1:10" ht="12.75">
      <c r="A29" t="s">
        <v>1</v>
      </c>
      <c r="B29" t="s">
        <v>1</v>
      </c>
      <c r="C29" s="183" t="s">
        <v>217</v>
      </c>
      <c r="H29" s="191">
        <f>H28+H27</f>
        <v>0.09228940068493151</v>
      </c>
      <c r="I29" t="s">
        <v>196</v>
      </c>
      <c r="J29" s="185">
        <f>I21+I9</f>
        <v>3459783.75</v>
      </c>
    </row>
    <row r="30" spans="1:10" ht="12.75">
      <c r="A30" t="s">
        <v>1</v>
      </c>
      <c r="J30" s="185">
        <f>I22+I12</f>
        <v>6318033.75</v>
      </c>
    </row>
    <row r="31" spans="2:9" ht="12.75">
      <c r="B31" t="s">
        <v>1</v>
      </c>
      <c r="I31" t="s">
        <v>218</v>
      </c>
    </row>
    <row r="33" spans="1:2" ht="12.75">
      <c r="A33" t="s">
        <v>1</v>
      </c>
      <c r="B33" s="192" t="s">
        <v>1</v>
      </c>
    </row>
    <row r="34" spans="1:4" ht="12.75">
      <c r="A34" t="s">
        <v>1</v>
      </c>
      <c r="B34" s="184" t="s">
        <v>1</v>
      </c>
      <c r="C34" t="s">
        <v>219</v>
      </c>
      <c r="D34" s="192">
        <v>1.5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E33"/>
  <sheetViews>
    <sheetView workbookViewId="0" topLeftCell="A6">
      <selection activeCell="C21" sqref="C21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9.8515625" style="0" bestFit="1" customWidth="1"/>
    <col min="4" max="4" width="6.7109375" style="0" customWidth="1"/>
    <col min="5" max="5" width="8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28125" style="0" customWidth="1"/>
    <col min="10" max="10" width="8.140625" style="0" customWidth="1"/>
  </cols>
  <sheetData>
    <row r="4" spans="2:3" ht="12.75">
      <c r="B4" s="5" t="s">
        <v>2</v>
      </c>
      <c r="C4" s="5" t="s">
        <v>3</v>
      </c>
    </row>
    <row r="5" spans="2:3" ht="12.75">
      <c r="B5" s="20" t="s">
        <v>104</v>
      </c>
      <c r="C5" s="21" t="s">
        <v>105</v>
      </c>
    </row>
    <row r="6" spans="2:3" ht="12.75">
      <c r="B6" s="6" t="s">
        <v>4</v>
      </c>
      <c r="C6" s="11">
        <v>5.5</v>
      </c>
    </row>
    <row r="7" spans="2:3" ht="12.75">
      <c r="B7" s="6" t="s">
        <v>5</v>
      </c>
      <c r="C7" s="12">
        <v>6500</v>
      </c>
    </row>
    <row r="8" spans="2:3" ht="12.75">
      <c r="B8" s="6" t="s">
        <v>100</v>
      </c>
      <c r="C8" s="12"/>
    </row>
    <row r="9" spans="2:3" ht="12.75">
      <c r="B9" s="6" t="s">
        <v>102</v>
      </c>
      <c r="C9" s="78">
        <v>66</v>
      </c>
    </row>
    <row r="10" spans="2:4" ht="12.75">
      <c r="B10" s="10" t="s">
        <v>6</v>
      </c>
      <c r="C10" s="13"/>
      <c r="D10" s="1"/>
    </row>
    <row r="11" spans="2:3" ht="12.75">
      <c r="B11" s="6"/>
      <c r="C11" s="14"/>
    </row>
    <row r="12" spans="2:3" ht="12.75">
      <c r="B12" s="6"/>
      <c r="C12" s="15"/>
    </row>
    <row r="13" spans="2:3" ht="12.75">
      <c r="B13" s="6" t="s">
        <v>7</v>
      </c>
      <c r="C13" s="16">
        <v>55</v>
      </c>
    </row>
    <row r="14" spans="2:3" ht="12.75">
      <c r="B14" s="6" t="s">
        <v>8</v>
      </c>
      <c r="C14" s="17">
        <v>0.33</v>
      </c>
    </row>
    <row r="15" spans="2:3" ht="12.75">
      <c r="B15" s="6" t="s">
        <v>9</v>
      </c>
      <c r="C15" s="15">
        <v>2</v>
      </c>
    </row>
    <row r="16" spans="2:3" ht="12.75">
      <c r="B16" s="6" t="s">
        <v>10</v>
      </c>
      <c r="C16" s="77">
        <v>1.25</v>
      </c>
    </row>
    <row r="17" spans="2:3" ht="12.75">
      <c r="B17" s="6" t="s">
        <v>103</v>
      </c>
      <c r="C17" s="14">
        <v>0.15</v>
      </c>
    </row>
    <row r="18" spans="2:3" ht="12.75">
      <c r="B18" s="22" t="s">
        <v>101</v>
      </c>
      <c r="C18" s="17">
        <v>0.04</v>
      </c>
    </row>
    <row r="19" spans="2:5" ht="12.75">
      <c r="B19" s="8" t="s">
        <v>11</v>
      </c>
      <c r="C19" s="18">
        <v>0.18</v>
      </c>
      <c r="D19" s="9"/>
      <c r="E19" s="4"/>
    </row>
    <row r="20" spans="2:3" ht="12.75">
      <c r="B20" s="82" t="s">
        <v>107</v>
      </c>
      <c r="C20" s="39">
        <v>0.05</v>
      </c>
    </row>
    <row r="21" spans="2:3" ht="12.75">
      <c r="B21" s="82" t="s">
        <v>108</v>
      </c>
      <c r="C21" s="46">
        <v>58500000</v>
      </c>
    </row>
    <row r="22" spans="2:3" ht="12.75">
      <c r="B22" s="82" t="s">
        <v>109</v>
      </c>
      <c r="C22">
        <v>25</v>
      </c>
    </row>
    <row r="23" spans="2:3" ht="12.75">
      <c r="B23" s="82" t="s">
        <v>110</v>
      </c>
      <c r="C23">
        <v>5</v>
      </c>
    </row>
    <row r="24" ht="12.75">
      <c r="B24" s="82" t="s">
        <v>114</v>
      </c>
    </row>
    <row r="25" spans="2:4" ht="12.75">
      <c r="B25" s="112" t="s">
        <v>115</v>
      </c>
      <c r="C25">
        <v>1</v>
      </c>
      <c r="D25" t="s">
        <v>118</v>
      </c>
    </row>
    <row r="26" spans="2:4" ht="12.75">
      <c r="B26" s="112" t="s">
        <v>117</v>
      </c>
      <c r="C26">
        <v>1</v>
      </c>
      <c r="D26" t="s">
        <v>118</v>
      </c>
    </row>
    <row r="27" spans="2:4" ht="12.75">
      <c r="B27" s="112" t="s">
        <v>116</v>
      </c>
      <c r="C27">
        <v>1</v>
      </c>
      <c r="D27" t="s">
        <v>118</v>
      </c>
    </row>
    <row r="28" spans="2:4" ht="12.75">
      <c r="B28" s="112" t="s">
        <v>119</v>
      </c>
      <c r="C28">
        <v>1</v>
      </c>
      <c r="D28" t="s">
        <v>118</v>
      </c>
    </row>
    <row r="29" spans="2:4" ht="12.75">
      <c r="B29" s="113" t="s">
        <v>58</v>
      </c>
      <c r="C29">
        <v>2</v>
      </c>
      <c r="D29" t="s">
        <v>120</v>
      </c>
    </row>
    <row r="30" spans="2:4" ht="12.75">
      <c r="B30" s="113" t="s">
        <v>59</v>
      </c>
      <c r="C30">
        <v>2</v>
      </c>
      <c r="D30" t="s">
        <v>120</v>
      </c>
    </row>
    <row r="31" spans="2:4" ht="12.75">
      <c r="B31" s="113" t="s">
        <v>56</v>
      </c>
      <c r="D31" t="s">
        <v>121</v>
      </c>
    </row>
    <row r="33" ht="12.75">
      <c r="B33" t="s">
        <v>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Computing</dc:creator>
  <cp:keywords/>
  <dc:description/>
  <cp:lastModifiedBy>Authorized User</cp:lastModifiedBy>
  <cp:lastPrinted>2005-10-07T18:21:37Z</cp:lastPrinted>
  <dcterms:created xsi:type="dcterms:W3CDTF">1999-06-13T22:59:13Z</dcterms:created>
  <dcterms:modified xsi:type="dcterms:W3CDTF">2006-05-06T15:32:22Z</dcterms:modified>
  <cp:category/>
  <cp:version/>
  <cp:contentType/>
  <cp:contentStatus/>
</cp:coreProperties>
</file>