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firstSheet="1" activeTab="4"/>
  </bookViews>
  <sheets>
    <sheet name="Summary" sheetId="1" r:id="rId1"/>
    <sheet name="Construction" sheetId="2" r:id="rId2"/>
    <sheet name="ROI" sheetId="3" r:id="rId3"/>
    <sheet name="Car leases" sheetId="4" r:id="rId4"/>
    <sheet name="Cashflow" sheetId="5" r:id="rId5"/>
    <sheet name="Assumpt" sheetId="6" r:id="rId6"/>
    <sheet name="Ridership" sheetId="7" r:id="rId7"/>
    <sheet name="Use of Funds" sheetId="8" r:id="rId8"/>
  </sheets>
  <definedNames>
    <definedName name="__123Graph_AChart4A" localSheetId="4" hidden="1">'Cashflow'!#REF!</definedName>
    <definedName name="__123Graph_BChart4A" localSheetId="4" hidden="1">'Cashflow'!$E$25:$T$25</definedName>
    <definedName name="__123Graph_CChart4A" localSheetId="4" hidden="1">'Cashflow'!#REF!</definedName>
    <definedName name="__123Graph_XChart4A" localSheetId="4" hidden="1">'Cashflow'!$E$3:$T$3</definedName>
    <definedName name="CHART">'Cashflow'!$W$1:$AI$32</definedName>
    <definedName name="DATABASE">'Cashflow'!$E$11:$T$41</definedName>
    <definedName name="FARE_CHART">'Cashflow'!$W$31:$AG$62</definedName>
    <definedName name="RTFARE_GRAPH">'Cashflow'!$W$74:$AG$101</definedName>
    <definedName name="TABLE">'Cashflow'!$A$1:$T$29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Authorized User</author>
  </authors>
  <commentList>
    <comment ref="G3" authorId="0">
      <text>
        <r>
          <rPr>
            <sz val="8"/>
            <rFont val="Tahoma"/>
            <family val="0"/>
          </rPr>
          <t>$100k Minimum plus $10 k per mile</t>
        </r>
      </text>
    </comment>
    <comment ref="E4" authorId="1">
      <text>
        <r>
          <rPr>
            <sz val="8"/>
            <rFont val="Tahoma"/>
            <family val="2"/>
          </rPr>
          <t>Station cost assumes only the ramp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portion.  Each of 2 ramps is .25 miles long =.5 mile of 1 way guideway @ $2.068 mil = $1.034 per station.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0"/>
          </rPr>
          <t>Small Maintenance shop at $300k plus $300k for each 100 vehicles</t>
        </r>
      </text>
    </comment>
    <comment ref="B14" authorId="1">
      <text>
        <r>
          <rPr>
            <b/>
            <sz val="8"/>
            <rFont val="Tahoma"/>
            <family val="0"/>
          </rPr>
          <t>15 passenger cars with linear induction motors for high speed and dual model wheels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<sst xmlns="http://schemas.openxmlformats.org/spreadsheetml/2006/main" count="305" uniqueCount="245">
  <si>
    <t>Total Costs and Expenses</t>
  </si>
  <si>
    <t xml:space="preserve"> </t>
  </si>
  <si>
    <t>Assumptions</t>
  </si>
  <si>
    <t>Values</t>
  </si>
  <si>
    <t>Route Distance in miles-ONE WAY</t>
  </si>
  <si>
    <t>Local Fare in c/per mile</t>
  </si>
  <si>
    <t>Income tax rate</t>
  </si>
  <si>
    <t>AverageTourist Fare  per day</t>
  </si>
  <si>
    <t>Internal Rate of Return</t>
  </si>
  <si>
    <t>How calculated</t>
  </si>
  <si>
    <t>Totals</t>
  </si>
  <si>
    <t>Category</t>
  </si>
  <si>
    <t>Costs and expenses:</t>
  </si>
  <si>
    <t>%x</t>
  </si>
  <si>
    <t>less upgrades &amp;  replacement reserves</t>
  </si>
  <si>
    <t>less  Upgrade &amp; Replacement  @ 3%</t>
  </si>
  <si>
    <t>Cash Flow</t>
  </si>
  <si>
    <t>yr-1</t>
  </si>
  <si>
    <t>yr-2</t>
  </si>
  <si>
    <t>yr-3</t>
  </si>
  <si>
    <t>yr-4</t>
  </si>
  <si>
    <t>yr-5</t>
  </si>
  <si>
    <t>yr-6</t>
  </si>
  <si>
    <t>yr-7</t>
  </si>
  <si>
    <t>yr-8</t>
  </si>
  <si>
    <t>yr-9</t>
  </si>
  <si>
    <t>yr-10</t>
  </si>
  <si>
    <t>yr-11</t>
  </si>
  <si>
    <t>yr-12</t>
  </si>
  <si>
    <t>yr-13</t>
  </si>
  <si>
    <t>yr-14</t>
  </si>
  <si>
    <t>yr-15</t>
  </si>
  <si>
    <t>yr-16</t>
  </si>
  <si>
    <t>yr-17</t>
  </si>
  <si>
    <t>yr-18</t>
  </si>
  <si>
    <t>yr-19</t>
  </si>
  <si>
    <t>yr-20</t>
  </si>
  <si>
    <t>yr-21</t>
  </si>
  <si>
    <t>yr-22</t>
  </si>
  <si>
    <t>yr-23</t>
  </si>
  <si>
    <t>yr-24</t>
  </si>
  <si>
    <t>yr-25</t>
  </si>
  <si>
    <t>25 Year Cash Flow Summary</t>
  </si>
  <si>
    <t>Calculations for Return on Investment   ROI</t>
  </si>
  <si>
    <t>Cargo Packages</t>
  </si>
  <si>
    <t>Construct</t>
  </si>
  <si>
    <t>Revenues: ave dailey pass</t>
  </si>
  <si>
    <t xml:space="preserve">Hotel tourists </t>
  </si>
  <si>
    <t xml:space="preserve">Visitors </t>
  </si>
  <si>
    <t>Total Weekday traffic</t>
  </si>
  <si>
    <t>Weekend traffic at 12.5%</t>
  </si>
  <si>
    <t>Residents</t>
  </si>
  <si>
    <t>Franchize and Royalty @ 4%</t>
  </si>
  <si>
    <t>Franchize  royalty @ 4%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</si>
  <si>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</si>
  <si>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</si>
  <si>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</si>
  <si>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</si>
  <si>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</si>
  <si>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</si>
  <si>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</si>
  <si>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</si>
  <si>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</si>
  <si>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</si>
  <si>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</si>
  <si>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</si>
  <si>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</si>
  <si>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</si>
  <si>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</si>
  <si>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</si>
  <si>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</si>
  <si>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</si>
  <si>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</si>
  <si>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</si>
  <si>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</si>
  <si>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</si>
  <si>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</si>
  <si>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</si>
  <si>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</si>
  <si>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 xml:space="preserve">      ( Tourists 1,500 p/d included)</t>
  </si>
  <si>
    <t>franchise Royalty</t>
  </si>
  <si>
    <t>Number of cars</t>
  </si>
  <si>
    <t>Operating cost as a % of Operations</t>
  </si>
  <si>
    <r>
      <t>Employees</t>
    </r>
    <r>
      <rPr>
        <sz val="8"/>
        <color indexed="9"/>
        <rFont val="Helv"/>
        <family val="0"/>
      </rPr>
      <t>: maint-, admin- security-, Station-</t>
    </r>
  </si>
  <si>
    <t>?</t>
  </si>
  <si>
    <t xml:space="preserve">Interest rate  </t>
  </si>
  <si>
    <t>Term of Loan</t>
  </si>
  <si>
    <t>Number of years interest only</t>
  </si>
  <si>
    <t>Net Cash Flow</t>
  </si>
  <si>
    <t>Cumulative</t>
  </si>
  <si>
    <t xml:space="preserve">PRICING </t>
  </si>
  <si>
    <t>p/day unlimited use</t>
  </si>
  <si>
    <t>Sunscription-Residents</t>
  </si>
  <si>
    <t>p/day one time</t>
  </si>
  <si>
    <t>weight</t>
  </si>
  <si>
    <t xml:space="preserve">Commuters RTD </t>
  </si>
  <si>
    <t xml:space="preserve">Day Workers that drive </t>
  </si>
  <si>
    <t>Parking for Day Workers</t>
  </si>
  <si>
    <t>Parking for Events</t>
  </si>
  <si>
    <t>Event Visitors Nights</t>
  </si>
  <si>
    <t xml:space="preserve">Business Visitors </t>
  </si>
  <si>
    <t>Platte Valley  4 mile Local Circulator</t>
  </si>
  <si>
    <t>25 Years of  Revenues</t>
  </si>
  <si>
    <t xml:space="preserve">Riders from  RTD </t>
  </si>
  <si>
    <t>Event &amp; Nights Ridership</t>
  </si>
  <si>
    <t>Operating &amp; Maint Costs @ 25%</t>
  </si>
  <si>
    <t>Total Revenues</t>
  </si>
  <si>
    <t xml:space="preserve">Residential Subscriptions </t>
  </si>
  <si>
    <t>Operating Costs @ 25%</t>
  </si>
  <si>
    <t>12,000 x $3 x 300days</t>
  </si>
  <si>
    <t xml:space="preserve"> 5,000 x .50c x 300days</t>
  </si>
  <si>
    <t xml:space="preserve"> 3,000 x $2 x 100 days </t>
  </si>
  <si>
    <t xml:space="preserve"> 2,000 x $5 x 100 days</t>
  </si>
  <si>
    <t xml:space="preserve"> 1,000 x $3 x 300 days</t>
  </si>
  <si>
    <t xml:space="preserve">    500 x $1 x 300 days</t>
  </si>
  <si>
    <t>Number of riders per day (RT) x 4% p/y growth</t>
  </si>
  <si>
    <t>Local User Subscription rate</t>
  </si>
  <si>
    <t xml:space="preserve">Subscription-CBD workers that drive </t>
  </si>
  <si>
    <t>Capital Requirements</t>
  </si>
  <si>
    <t>Construction Costs (Millions)</t>
  </si>
  <si>
    <t>Interest Reserves Optional ($MILLIONS)</t>
  </si>
  <si>
    <t>Net Income (Before taxes)</t>
  </si>
  <si>
    <t>Net Cash Flow (Before Taxes)</t>
  </si>
  <si>
    <t xml:space="preserve"> 2,000 x $3 x 300 days</t>
  </si>
  <si>
    <t xml:space="preserve">  1500 x $3 x 300 days</t>
  </si>
  <si>
    <t>Total Revenues from  Weekdays (6) Traffic</t>
  </si>
  <si>
    <t>Other Revenues - Sunday traffic at 5%</t>
  </si>
  <si>
    <t>Total Revenues (000)</t>
  </si>
  <si>
    <r>
      <t xml:space="preserve">Revenues: </t>
    </r>
    <r>
      <rPr>
        <sz val="10"/>
        <rFont val="Helv"/>
        <family val="0"/>
      </rPr>
      <t>($ for ave dailey pass)</t>
    </r>
  </si>
  <si>
    <t xml:space="preserve">Subscription CBD Workers that drive </t>
  </si>
  <si>
    <t xml:space="preserve">Commuters from RTD </t>
  </si>
  <si>
    <t>Investment</t>
  </si>
  <si>
    <t># of years held</t>
  </si>
  <si>
    <t>ave R.O.I. (Before Taxes)</t>
  </si>
  <si>
    <t>p/y</t>
  </si>
  <si>
    <t>Admin, Operating &amp; Maint Costs @ 25%</t>
  </si>
  <si>
    <t>Use of Funds</t>
  </si>
  <si>
    <t xml:space="preserve">5 mile system </t>
  </si>
  <si>
    <t>payoff Venture Capital</t>
  </si>
  <si>
    <t>build test track</t>
  </si>
  <si>
    <t>Stations</t>
  </si>
  <si>
    <t>working Capital</t>
  </si>
  <si>
    <t>underwriting fees</t>
  </si>
  <si>
    <t>ave py over 25 yrs</t>
  </si>
  <si>
    <r>
      <t xml:space="preserve">CBD Parking Subscription Riders </t>
    </r>
    <r>
      <rPr>
        <sz val="8"/>
        <rFont val="Helv"/>
        <family val="0"/>
      </rPr>
      <t xml:space="preserve"> </t>
    </r>
  </si>
  <si>
    <t>12,000 x $1 x 300 days</t>
  </si>
  <si>
    <t>Platte Valley Ridership Assumptions</t>
  </si>
  <si>
    <t xml:space="preserve">             33% share of parking revenues</t>
  </si>
  <si>
    <t>Riders from  RTD transfers</t>
  </si>
  <si>
    <t xml:space="preserve">              +50% Parking for Events</t>
  </si>
  <si>
    <t>Business Visitors at $3 pd</t>
  </si>
  <si>
    <t>Hotel tourists at $3 pd</t>
  </si>
  <si>
    <t xml:space="preserve">        +33% Parking for Bus Visitors </t>
  </si>
  <si>
    <t xml:space="preserve">Total Revenues from traffic (6) Weekdays </t>
  </si>
  <si>
    <t>Other Revenues from Sunday traffic at 5%</t>
  </si>
  <si>
    <r>
      <t xml:space="preserve">Revenues: </t>
    </r>
    <r>
      <rPr>
        <sz val="10"/>
        <rFont val="Helv"/>
        <family val="0"/>
      </rPr>
      <t>($1 for ave dailey pass)</t>
    </r>
  </si>
  <si>
    <t xml:space="preserve">  sold at $25 per month subscriptions</t>
  </si>
  <si>
    <t>Total Revenues per year</t>
  </si>
  <si>
    <t xml:space="preserve">   in 000s</t>
  </si>
  <si>
    <t>Total Building Costs</t>
  </si>
  <si>
    <t>Interest Reserve-2yrs at 5%</t>
  </si>
  <si>
    <t>Riders per day</t>
  </si>
  <si>
    <t>Event visitors</t>
  </si>
  <si>
    <t>Cargo and Advertising</t>
  </si>
  <si>
    <t>Franchise funded Privately $88,400,000</t>
  </si>
  <si>
    <t>Optional $88.4 Mil Loan at 6.5%</t>
  </si>
  <si>
    <t>Financing by Leasing Cars</t>
  </si>
  <si>
    <t xml:space="preserve">Construction Cost </t>
  </si>
  <si>
    <t>Equity from car Leases</t>
  </si>
  <si>
    <t>Car Leases Sold</t>
  </si>
  <si>
    <t>at 6%</t>
  </si>
  <si>
    <t>Bonds at 6%</t>
  </si>
  <si>
    <t>Payment</t>
  </si>
  <si>
    <t>Concept to raise $88 million by leasing vehicles to business</t>
  </si>
  <si>
    <t>(300 x $50,000)</t>
  </si>
  <si>
    <t>Downpayment per car</t>
  </si>
  <si>
    <t>Average Per Car prices</t>
  </si>
  <si>
    <t>Earnings Revuenue per car</t>
  </si>
  <si>
    <t>p/mo</t>
  </si>
  <si>
    <t>Bond Financing per car</t>
  </si>
  <si>
    <t xml:space="preserve">10 yr depreciation </t>
  </si>
  <si>
    <t>Returns on $50,000</t>
  </si>
  <si>
    <t>1) Monthly Net earning $1,012 after debt</t>
  </si>
  <si>
    <t>2) Employee ridership and morale</t>
  </si>
  <si>
    <t>3) Economic development</t>
  </si>
  <si>
    <t>4) Adversizing on car and seat laptops</t>
  </si>
  <si>
    <r>
      <t xml:space="preserve">CBD Subscriptions Riders </t>
    </r>
    <r>
      <rPr>
        <sz val="8"/>
        <rFont val="Helv"/>
        <family val="0"/>
      </rPr>
      <t xml:space="preserve"> </t>
    </r>
  </si>
  <si>
    <t>$1 share of parking revenues</t>
  </si>
  <si>
    <t>$1.50 share of event parkg</t>
  </si>
  <si>
    <r>
      <t xml:space="preserve">$1 </t>
    </r>
    <r>
      <rPr>
        <sz val="9"/>
        <rFont val="Helv"/>
        <family val="0"/>
      </rPr>
      <t xml:space="preserve">Parking for Business Visitors </t>
    </r>
  </si>
  <si>
    <t>12,000 x $1 x 300days</t>
  </si>
  <si>
    <t>$1 Share of Parking for Day Workers</t>
  </si>
  <si>
    <t>CAPITAL CONSTRUCTION COST</t>
  </si>
  <si>
    <t>DIRECT COSTS</t>
  </si>
  <si>
    <t>Unit</t>
  </si>
  <si>
    <t>Engineering at 7.6% of Construction</t>
  </si>
  <si>
    <t>job</t>
  </si>
  <si>
    <t>Conc Guideway beams fabricated</t>
  </si>
  <si>
    <t>mile</t>
  </si>
  <si>
    <t xml:space="preserve"> Steel Roadbed track</t>
  </si>
  <si>
    <t>105 Colums &amp; footings  at $8800</t>
  </si>
  <si>
    <t>105 cross beams every 50' at $4300 ea</t>
  </si>
  <si>
    <t>P/ Mile</t>
  </si>
  <si>
    <t>Engineering &amp; Test Track………………….</t>
  </si>
  <si>
    <t xml:space="preserve">                 </t>
  </si>
  <si>
    <t>Shipping to Job Site</t>
  </si>
  <si>
    <t>Erection</t>
  </si>
  <si>
    <t>Electric Power Distribution</t>
  </si>
  <si>
    <t>Control Systems</t>
  </si>
  <si>
    <t>job+</t>
  </si>
  <si>
    <t>Stations/(local circulators not incl)</t>
  </si>
  <si>
    <t>stations</t>
  </si>
  <si>
    <t>Maintenance Facilities</t>
  </si>
  <si>
    <t>min</t>
  </si>
  <si>
    <t>each</t>
  </si>
  <si>
    <t>Off site civil at 5%</t>
  </si>
  <si>
    <t>Contingency at 10%</t>
  </si>
  <si>
    <t>Subtotal Direct</t>
  </si>
  <si>
    <t>INDIRECT COSTS</t>
  </si>
  <si>
    <t>Administration (5.43% project cost)</t>
  </si>
  <si>
    <t>Reserves at 15%</t>
  </si>
  <si>
    <t>Subtotal Direct and Indirect</t>
  </si>
  <si>
    <t>TOTAL COSTS</t>
  </si>
  <si>
    <t>Number of Vehicles Purchased</t>
  </si>
  <si>
    <t>Number of vehicles to start</t>
  </si>
  <si>
    <t>Miles of Track</t>
  </si>
  <si>
    <t>Speed (Mph)</t>
  </si>
  <si>
    <t>passenger per vehicle</t>
  </si>
  <si>
    <t>passengers per day</t>
  </si>
  <si>
    <t>maximum Vehicles</t>
  </si>
  <si>
    <t># of peak hours/day</t>
  </si>
  <si>
    <t xml:space="preserve">                                                                       </t>
  </si>
  <si>
    <t xml:space="preserve">              </t>
  </si>
  <si>
    <t>5 Miles</t>
  </si>
  <si>
    <t>Per Mile</t>
  </si>
  <si>
    <t>Vehicles assume 100 with 88 to start</t>
  </si>
  <si>
    <t>Underwriting Fees at 3%</t>
  </si>
  <si>
    <t>6 to 15</t>
  </si>
  <si>
    <t>average price full day</t>
  </si>
  <si>
    <t>See Construction Tab</t>
  </si>
  <si>
    <t xml:space="preserve"> Attainable Cash Flow Proforma  for a 5 Mile Platte Valley Circulator</t>
  </si>
  <si>
    <t>Cash Flow (before Taxes)</t>
  </si>
  <si>
    <t>Cash Flow (Before Taxes)</t>
  </si>
  <si>
    <t>Optional Interest  and  Amortization</t>
  </si>
  <si>
    <t xml:space="preserve"> Costs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</si>
</sst>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9"/>
      <name val="Helv"/>
      <family val="0"/>
    </font>
    <font>
      <b/>
      <sz val="14"/>
      <name val="Helv"/>
      <family val="0"/>
    </font>
    <font>
      <sz val="10"/>
      <color indexed="9"/>
      <name val="Helv"/>
      <family val="0"/>
    </font>
    <font>
      <sz val="9"/>
      <color indexed="9"/>
      <name val="Helv"/>
      <family val="0"/>
    </font>
    <font>
      <b/>
      <sz val="9"/>
      <color indexed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8"/>
      <color indexed="9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sz val="7"/>
      <name val="Helv"/>
      <family val="0"/>
    </font>
    <font>
      <sz val="14"/>
      <name val="Helv"/>
      <family val="0"/>
    </font>
    <font>
      <u val="single"/>
      <sz val="10"/>
      <name val="Arial"/>
      <family val="2"/>
    </font>
    <font>
      <b/>
      <u val="single"/>
      <sz val="8"/>
      <name val="Helv"/>
      <family val="0"/>
    </font>
    <font>
      <b/>
      <sz val="18"/>
      <name val="Times New Roman"/>
      <family val="1"/>
    </font>
    <font>
      <sz val="8"/>
      <name val="Arial"/>
      <family val="2"/>
    </font>
    <font>
      <sz val="9"/>
      <name val="Helv"/>
      <family val="0"/>
    </font>
    <font>
      <sz val="16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name val="Helv"/>
      <family val="0"/>
    </font>
    <font>
      <sz val="10"/>
      <name val="CG Times (WN)"/>
      <family val="1"/>
    </font>
    <font>
      <b/>
      <sz val="12"/>
      <name val="CG Times (WN)"/>
      <family val="1"/>
    </font>
    <font>
      <b/>
      <sz val="10"/>
      <name val="CG Times (WN)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6.7"/>
      <color indexed="8"/>
      <name val="Geneva"/>
      <family val="0"/>
    </font>
    <font>
      <b/>
      <u val="single"/>
      <sz val="6.7"/>
      <color indexed="8"/>
      <name val="Geneva"/>
      <family val="0"/>
    </font>
    <font>
      <sz val="6.7"/>
      <color indexed="8"/>
      <name val="Geneva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Geneva"/>
      <family val="0"/>
    </font>
    <font>
      <sz val="6"/>
      <name val="Small Fonts"/>
      <family val="2"/>
    </font>
    <font>
      <sz val="7"/>
      <name val="CG Times (WN)"/>
      <family val="0"/>
    </font>
    <font>
      <sz val="8"/>
      <name val="CG Times (WN)"/>
      <family val="0"/>
    </font>
    <font>
      <u val="single"/>
      <sz val="6.7"/>
      <color indexed="8"/>
      <name val="Geneva"/>
      <family val="0"/>
    </font>
    <font>
      <b/>
      <sz val="8.3"/>
      <color indexed="8"/>
      <name val="Geneva"/>
      <family val="0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40">
    <xf numFmtId="164" fontId="0" fillId="0" borderId="0" xfId="0" applyAlignment="1">
      <alignment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8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 horizontal="left"/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left"/>
      <protection/>
    </xf>
    <xf numFmtId="164" fontId="8" fillId="2" borderId="1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7" fillId="2" borderId="1" xfId="0" applyNumberFormat="1" applyFont="1" applyFill="1" applyBorder="1" applyAlignment="1" applyProtection="1">
      <alignment horizontal="left"/>
      <protection/>
    </xf>
    <xf numFmtId="164" fontId="8" fillId="2" borderId="1" xfId="0" applyNumberFormat="1" applyFont="1" applyFill="1" applyBorder="1" applyAlignment="1" applyProtection="1">
      <alignment/>
      <protection/>
    </xf>
    <xf numFmtId="164" fontId="9" fillId="3" borderId="1" xfId="0" applyNumberFormat="1" applyFont="1" applyFill="1" applyBorder="1" applyAlignment="1" applyProtection="1">
      <alignment/>
      <protection/>
    </xf>
    <xf numFmtId="38" fontId="9" fillId="3" borderId="1" xfId="0" applyNumberFormat="1" applyFont="1" applyFill="1" applyBorder="1" applyAlignment="1" applyProtection="1">
      <alignment/>
      <protection/>
    </xf>
    <xf numFmtId="2" fontId="9" fillId="3" borderId="1" xfId="0" applyNumberFormat="1" applyFont="1" applyFill="1" applyBorder="1" applyAlignment="1" applyProtection="1">
      <alignment/>
      <protection/>
    </xf>
    <xf numFmtId="9" fontId="9" fillId="3" borderId="1" xfId="0" applyNumberFormat="1" applyFont="1" applyFill="1" applyBorder="1" applyAlignment="1" applyProtection="1">
      <alignment/>
      <protection/>
    </xf>
    <xf numFmtId="8" fontId="9" fillId="3" borderId="1" xfId="0" applyNumberFormat="1" applyFont="1" applyFill="1" applyBorder="1" applyAlignment="1" applyProtection="1">
      <alignment/>
      <protection/>
    </xf>
    <xf numFmtId="166" fontId="9" fillId="3" borderId="1" xfId="0" applyNumberFormat="1" applyFont="1" applyFill="1" applyBorder="1" applyAlignment="1" applyProtection="1">
      <alignment/>
      <protection/>
    </xf>
    <xf numFmtId="167" fontId="9" fillId="3" borderId="1" xfId="0" applyNumberFormat="1" applyFont="1" applyFill="1" applyBorder="1" applyAlignment="1" applyProtection="1">
      <alignment/>
      <protection/>
    </xf>
    <xf numFmtId="9" fontId="5" fillId="3" borderId="1" xfId="0" applyNumberFormat="1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7" fillId="2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right"/>
      <protection/>
    </xf>
    <xf numFmtId="164" fontId="13" fillId="2" borderId="1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/>
    </xf>
    <xf numFmtId="8" fontId="12" fillId="0" borderId="0" xfId="0" applyNumberFormat="1" applyFont="1" applyAlignment="1" applyProtection="1">
      <alignment/>
      <protection/>
    </xf>
    <xf numFmtId="8" fontId="15" fillId="0" borderId="0" xfId="0" applyNumberFormat="1" applyFont="1" applyAlignment="1" applyProtection="1">
      <alignment/>
      <protection/>
    </xf>
    <xf numFmtId="164" fontId="0" fillId="4" borderId="0" xfId="0" applyFill="1" applyAlignment="1">
      <alignment/>
    </xf>
    <xf numFmtId="164" fontId="0" fillId="0" borderId="0" xfId="0" applyAlignment="1">
      <alignment horizontal="right"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5" fillId="0" borderId="0" xfId="0" applyNumberFormat="1" applyFont="1" applyAlignment="1" applyProtection="1">
      <alignment horizontal="left"/>
      <protection/>
    </xf>
    <xf numFmtId="164" fontId="12" fillId="0" borderId="0" xfId="0" applyFont="1" applyAlignment="1">
      <alignment horizontal="left"/>
    </xf>
    <xf numFmtId="164" fontId="12" fillId="0" borderId="0" xfId="0" applyNumberFormat="1" applyFont="1" applyAlignment="1" applyProtection="1">
      <alignment horizontal="center"/>
      <protection/>
    </xf>
    <xf numFmtId="9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1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2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4" fontId="10" fillId="0" borderId="0" xfId="0" applyFont="1" applyBorder="1" applyAlignment="1">
      <alignment/>
    </xf>
    <xf numFmtId="164" fontId="17" fillId="5" borderId="0" xfId="0" applyFont="1" applyFill="1" applyBorder="1" applyAlignment="1">
      <alignment/>
    </xf>
    <xf numFmtId="164" fontId="17" fillId="5" borderId="0" xfId="0" applyFont="1" applyFill="1" applyAlignment="1">
      <alignment/>
    </xf>
    <xf numFmtId="164" fontId="12" fillId="4" borderId="0" xfId="0" applyFont="1" applyFill="1" applyAlignment="1">
      <alignment/>
    </xf>
    <xf numFmtId="164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3" fontId="12" fillId="4" borderId="0" xfId="0" applyNumberFormat="1" applyFont="1" applyFill="1" applyAlignment="1" applyProtection="1">
      <alignment/>
      <protection/>
    </xf>
    <xf numFmtId="3" fontId="12" fillId="4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 horizontal="right"/>
      <protection/>
    </xf>
    <xf numFmtId="3" fontId="15" fillId="4" borderId="0" xfId="0" applyNumberFormat="1" applyFont="1" applyFill="1" applyAlignment="1" applyProtection="1">
      <alignment horizontal="right"/>
      <protection/>
    </xf>
    <xf numFmtId="3" fontId="15" fillId="0" borderId="2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/>
      <protection/>
    </xf>
    <xf numFmtId="164" fontId="0" fillId="5" borderId="3" xfId="0" applyNumberFormat="1" applyFill="1" applyBorder="1" applyAlignment="1" applyProtection="1">
      <alignment horizontal="center"/>
      <protection/>
    </xf>
    <xf numFmtId="164" fontId="10" fillId="5" borderId="3" xfId="0" applyNumberFormat="1" applyFont="1" applyFill="1" applyBorder="1" applyAlignment="1" applyProtection="1">
      <alignment horizontal="right"/>
      <protection/>
    </xf>
    <xf numFmtId="2" fontId="15" fillId="0" borderId="0" xfId="0" applyNumberFormat="1" applyFont="1" applyAlignment="1">
      <alignment horizontal="right"/>
    </xf>
    <xf numFmtId="164" fontId="16" fillId="4" borderId="0" xfId="0" applyFont="1" applyFill="1" applyAlignment="1">
      <alignment/>
    </xf>
    <xf numFmtId="164" fontId="12" fillId="4" borderId="0" xfId="0" applyFont="1" applyFill="1" applyAlignment="1">
      <alignment horizontal="left"/>
    </xf>
    <xf numFmtId="166" fontId="0" fillId="4" borderId="0" xfId="0" applyNumberFormat="1" applyFill="1" applyAlignment="1" applyProtection="1">
      <alignment horizontal="left"/>
      <protection/>
    </xf>
    <xf numFmtId="164" fontId="16" fillId="4" borderId="0" xfId="0" applyFont="1" applyFill="1" applyAlignment="1">
      <alignment horizontal="left"/>
    </xf>
    <xf numFmtId="166" fontId="0" fillId="4" borderId="0" xfId="0" applyNumberFormat="1" applyFill="1" applyAlignment="1" applyProtection="1">
      <alignment/>
      <protection/>
    </xf>
    <xf numFmtId="166" fontId="0" fillId="4" borderId="0" xfId="0" applyNumberFormat="1" applyFill="1" applyAlignment="1" applyProtection="1">
      <alignment horizontal="right"/>
      <protection/>
    </xf>
    <xf numFmtId="8" fontId="0" fillId="4" borderId="0" xfId="0" applyNumberFormat="1" applyFill="1" applyBorder="1" applyAlignment="1" applyProtection="1">
      <alignment/>
      <protection/>
    </xf>
    <xf numFmtId="166" fontId="0" fillId="4" borderId="0" xfId="0" applyNumberFormat="1" applyFill="1" applyBorder="1" applyAlignment="1" applyProtection="1">
      <alignment/>
      <protection/>
    </xf>
    <xf numFmtId="3" fontId="16" fillId="4" borderId="0" xfId="0" applyNumberFormat="1" applyFont="1" applyFill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164" fontId="12" fillId="0" borderId="0" xfId="0" applyFont="1" applyAlignment="1">
      <alignment horizontal="right"/>
    </xf>
    <xf numFmtId="169" fontId="17" fillId="5" borderId="0" xfId="0" applyNumberFormat="1" applyFont="1" applyFill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175" fontId="0" fillId="0" borderId="0" xfId="0" applyNumberFormat="1" applyAlignment="1">
      <alignment/>
    </xf>
    <xf numFmtId="171" fontId="5" fillId="3" borderId="0" xfId="0" applyNumberFormat="1" applyFont="1" applyFill="1" applyAlignment="1">
      <alignment/>
    </xf>
    <xf numFmtId="1" fontId="9" fillId="3" borderId="1" xfId="0" applyNumberFormat="1" applyFont="1" applyFill="1" applyBorder="1" applyAlignment="1" applyProtection="1">
      <alignment/>
      <protection/>
    </xf>
    <xf numFmtId="164" fontId="0" fillId="6" borderId="0" xfId="0" applyFill="1" applyAlignment="1">
      <alignment/>
    </xf>
    <xf numFmtId="169" fontId="0" fillId="6" borderId="0" xfId="0" applyNumberFormat="1" applyFill="1" applyAlignment="1">
      <alignment/>
    </xf>
    <xf numFmtId="164" fontId="20" fillId="6" borderId="0" xfId="0" applyFont="1" applyFill="1" applyAlignment="1">
      <alignment/>
    </xf>
    <xf numFmtId="164" fontId="8" fillId="2" borderId="4" xfId="0" applyNumberFormat="1" applyFont="1" applyFill="1" applyBorder="1" applyAlignment="1" applyProtection="1">
      <alignment horizontal="left"/>
      <protection/>
    </xf>
    <xf numFmtId="3" fontId="12" fillId="0" borderId="0" xfId="15" applyNumberFormat="1" applyFont="1" applyAlignment="1">
      <alignment/>
    </xf>
    <xf numFmtId="3" fontId="12" fillId="4" borderId="0" xfId="15" applyNumberFormat="1" applyFont="1" applyFill="1" applyAlignment="1">
      <alignment/>
    </xf>
    <xf numFmtId="164" fontId="12" fillId="5" borderId="3" xfId="0" applyNumberFormat="1" applyFont="1" applyFill="1" applyBorder="1" applyAlignment="1" applyProtection="1">
      <alignment horizontal="center"/>
      <protection/>
    </xf>
    <xf numFmtId="3" fontId="12" fillId="4" borderId="0" xfId="0" applyNumberFormat="1" applyFont="1" applyFill="1" applyAlignment="1">
      <alignment/>
    </xf>
    <xf numFmtId="3" fontId="21" fillId="4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4" fillId="4" borderId="0" xfId="0" applyNumberFormat="1" applyFont="1" applyFill="1" applyAlignment="1">
      <alignment/>
    </xf>
    <xf numFmtId="164" fontId="12" fillId="4" borderId="0" xfId="0" applyFont="1" applyFill="1" applyBorder="1" applyAlignment="1">
      <alignment/>
    </xf>
    <xf numFmtId="10" fontId="12" fillId="0" borderId="0" xfId="0" applyNumberFormat="1" applyFont="1" applyAlignment="1" applyProtection="1">
      <alignment horizontal="left"/>
      <protection/>
    </xf>
    <xf numFmtId="167" fontId="12" fillId="0" borderId="0" xfId="0" applyNumberFormat="1" applyFont="1" applyAlignment="1" applyProtection="1">
      <alignment horizontal="left"/>
      <protection/>
    </xf>
    <xf numFmtId="10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right"/>
      <protection/>
    </xf>
    <xf numFmtId="6" fontId="12" fillId="0" borderId="0" xfId="0" applyNumberFormat="1" applyFont="1" applyAlignment="1" applyProtection="1">
      <alignment/>
      <protection/>
    </xf>
    <xf numFmtId="8" fontId="12" fillId="4" borderId="0" xfId="0" applyNumberFormat="1" applyFont="1" applyFill="1" applyAlignment="1" applyProtection="1">
      <alignment/>
      <protection/>
    </xf>
    <xf numFmtId="8" fontId="12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 horizontal="left"/>
      <protection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3" fontId="12" fillId="4" borderId="3" xfId="0" applyNumberFormat="1" applyFont="1" applyFill="1" applyBorder="1" applyAlignment="1" applyProtection="1">
      <alignment horizontal="right"/>
      <protection/>
    </xf>
    <xf numFmtId="169" fontId="0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171" fontId="12" fillId="4" borderId="0" xfId="0" applyNumberFormat="1" applyFont="1" applyFill="1" applyAlignment="1">
      <alignment/>
    </xf>
    <xf numFmtId="164" fontId="22" fillId="0" borderId="0" xfId="0" applyFont="1" applyAlignment="1">
      <alignment/>
    </xf>
    <xf numFmtId="164" fontId="12" fillId="0" borderId="0" xfId="0" applyFont="1" applyFill="1" applyBorder="1" applyAlignment="1">
      <alignment/>
    </xf>
    <xf numFmtId="3" fontId="14" fillId="4" borderId="0" xfId="0" applyNumberFormat="1" applyFont="1" applyFill="1" applyAlignment="1" applyProtection="1">
      <alignment/>
      <protection/>
    </xf>
    <xf numFmtId="3" fontId="14" fillId="4" borderId="5" xfId="0" applyNumberFormat="1" applyFont="1" applyFill="1" applyBorder="1" applyAlignment="1" applyProtection="1">
      <alignment/>
      <protection/>
    </xf>
    <xf numFmtId="3" fontId="15" fillId="4" borderId="0" xfId="0" applyNumberFormat="1" applyFont="1" applyFill="1" applyAlignment="1">
      <alignment/>
    </xf>
    <xf numFmtId="10" fontId="10" fillId="0" borderId="0" xfId="0" applyNumberFormat="1" applyFont="1" applyAlignment="1">
      <alignment/>
    </xf>
    <xf numFmtId="3" fontId="15" fillId="4" borderId="0" xfId="0" applyNumberFormat="1" applyFont="1" applyFill="1" applyBorder="1" applyAlignment="1" applyProtection="1">
      <alignment/>
      <protection/>
    </xf>
    <xf numFmtId="167" fontId="16" fillId="4" borderId="0" xfId="0" applyNumberFormat="1" applyFont="1" applyFill="1" applyAlignment="1" applyProtection="1">
      <alignment/>
      <protection/>
    </xf>
    <xf numFmtId="0" fontId="12" fillId="4" borderId="0" xfId="0" applyNumberFormat="1" applyFont="1" applyFill="1" applyAlignment="1" applyProtection="1">
      <alignment/>
      <protection/>
    </xf>
    <xf numFmtId="164" fontId="23" fillId="0" borderId="0" xfId="0" applyFont="1" applyAlignment="1">
      <alignment/>
    </xf>
    <xf numFmtId="9" fontId="15" fillId="0" borderId="0" xfId="0" applyNumberFormat="1" applyFont="1" applyAlignment="1" applyProtection="1">
      <alignment horizontal="right"/>
      <protection/>
    </xf>
    <xf numFmtId="167" fontId="12" fillId="0" borderId="0" xfId="0" applyNumberFormat="1" applyFont="1" applyAlignment="1">
      <alignment horizontal="right"/>
    </xf>
    <xf numFmtId="3" fontId="15" fillId="0" borderId="6" xfId="0" applyNumberFormat="1" applyFont="1" applyBorder="1" applyAlignment="1">
      <alignment horizontal="right"/>
    </xf>
    <xf numFmtId="169" fontId="15" fillId="4" borderId="0" xfId="0" applyNumberFormat="1" applyFont="1" applyFill="1" applyAlignment="1">
      <alignment/>
    </xf>
    <xf numFmtId="169" fontId="0" fillId="0" borderId="6" xfId="0" applyNumberFormat="1" applyBorder="1" applyAlignment="1">
      <alignment/>
    </xf>
    <xf numFmtId="169" fontId="12" fillId="0" borderId="0" xfId="0" applyNumberFormat="1" applyFont="1" applyAlignment="1">
      <alignment/>
    </xf>
    <xf numFmtId="169" fontId="12" fillId="0" borderId="6" xfId="0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10" fillId="0" borderId="0" xfId="0" applyNumberFormat="1" applyFont="1" applyAlignment="1" applyProtection="1">
      <alignment/>
      <protection/>
    </xf>
    <xf numFmtId="169" fontId="5" fillId="2" borderId="0" xfId="0" applyNumberFormat="1" applyFont="1" applyFill="1" applyAlignment="1" applyProtection="1">
      <alignment/>
      <protection/>
    </xf>
    <xf numFmtId="169" fontId="0" fillId="0" borderId="0" xfId="0" applyNumberFormat="1" applyAlignment="1">
      <alignment horizontal="left"/>
    </xf>
    <xf numFmtId="169" fontId="12" fillId="0" borderId="6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Alignment="1">
      <alignment/>
    </xf>
    <xf numFmtId="181" fontId="12" fillId="4" borderId="0" xfId="0" applyNumberFormat="1" applyFont="1" applyFill="1" applyAlignment="1">
      <alignment/>
    </xf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26" fillId="0" borderId="0" xfId="0" applyFont="1" applyAlignment="1">
      <alignment/>
    </xf>
    <xf numFmtId="3" fontId="0" fillId="0" borderId="0" xfId="0" applyNumberForma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3" fontId="27" fillId="0" borderId="0" xfId="0" applyNumberFormat="1" applyFont="1" applyAlignment="1">
      <alignment/>
    </xf>
    <xf numFmtId="164" fontId="27" fillId="0" borderId="0" xfId="0" applyFont="1" applyAlignment="1">
      <alignment horizontal="centerContinuous"/>
    </xf>
    <xf numFmtId="5" fontId="27" fillId="0" borderId="0" xfId="0" applyNumberFormat="1" applyFont="1" applyAlignment="1">
      <alignment horizontal="left"/>
    </xf>
    <xf numFmtId="164" fontId="0" fillId="0" borderId="7" xfId="0" applyBorder="1" applyAlignment="1">
      <alignment/>
    </xf>
    <xf numFmtId="164" fontId="29" fillId="0" borderId="7" xfId="0" applyFont="1" applyBorder="1" applyAlignment="1">
      <alignment/>
    </xf>
    <xf numFmtId="164" fontId="27" fillId="0" borderId="7" xfId="0" applyFont="1" applyBorder="1" applyAlignment="1">
      <alignment/>
    </xf>
    <xf numFmtId="3" fontId="27" fillId="0" borderId="7" xfId="0" applyNumberFormat="1" applyFont="1" applyBorder="1" applyAlignment="1">
      <alignment horizontal="right"/>
    </xf>
    <xf numFmtId="164" fontId="29" fillId="0" borderId="7" xfId="0" applyFont="1" applyBorder="1" applyAlignment="1">
      <alignment horizontal="center"/>
    </xf>
    <xf numFmtId="164" fontId="30" fillId="0" borderId="0" xfId="0" applyFont="1" applyAlignment="1">
      <alignment/>
    </xf>
    <xf numFmtId="3" fontId="30" fillId="0" borderId="0" xfId="17" applyNumberFormat="1" applyFont="1" applyAlignment="1">
      <alignment/>
    </xf>
    <xf numFmtId="164" fontId="30" fillId="0" borderId="0" xfId="0" applyFont="1" applyAlignment="1">
      <alignment horizontal="center"/>
    </xf>
    <xf numFmtId="6" fontId="30" fillId="5" borderId="0" xfId="17" applyNumberFormat="1" applyFont="1" applyFill="1" applyAlignment="1">
      <alignment horizontal="right"/>
    </xf>
    <xf numFmtId="164" fontId="31" fillId="0" borderId="0" xfId="0" applyFont="1" applyAlignment="1">
      <alignment/>
    </xf>
    <xf numFmtId="0" fontId="4" fillId="0" borderId="0" xfId="21">
      <alignment/>
      <protection/>
    </xf>
    <xf numFmtId="169" fontId="32" fillId="0" borderId="0" xfId="21" applyNumberFormat="1" applyFont="1" applyBorder="1" applyAlignment="1">
      <alignment horizontal="center" vertical="top" wrapText="1"/>
      <protection/>
    </xf>
    <xf numFmtId="164" fontId="34" fillId="0" borderId="0" xfId="0" applyFont="1" applyAlignment="1">
      <alignment/>
    </xf>
    <xf numFmtId="3" fontId="30" fillId="0" borderId="0" xfId="0" applyNumberFormat="1" applyFont="1" applyAlignment="1">
      <alignment/>
    </xf>
    <xf numFmtId="164" fontId="35" fillId="0" borderId="0" xfId="0" applyFont="1" applyAlignment="1">
      <alignment horizontal="right"/>
    </xf>
    <xf numFmtId="164" fontId="36" fillId="0" borderId="0" xfId="0" applyFont="1" applyAlignment="1">
      <alignment/>
    </xf>
    <xf numFmtId="6" fontId="36" fillId="0" borderId="0" xfId="0" applyNumberFormat="1" applyFont="1" applyAlignment="1">
      <alignment horizontal="right"/>
    </xf>
    <xf numFmtId="164" fontId="37" fillId="0" borderId="0" xfId="0" applyFont="1" applyAlignment="1">
      <alignment/>
    </xf>
    <xf numFmtId="164" fontId="38" fillId="0" borderId="8" xfId="0" applyFont="1" applyBorder="1" applyAlignment="1">
      <alignment/>
    </xf>
    <xf numFmtId="164" fontId="30" fillId="0" borderId="8" xfId="0" applyFont="1" applyBorder="1" applyAlignment="1">
      <alignment/>
    </xf>
    <xf numFmtId="164" fontId="39" fillId="0" borderId="0" xfId="0" applyFont="1" applyAlignment="1">
      <alignment/>
    </xf>
    <xf numFmtId="6" fontId="30" fillId="5" borderId="0" xfId="0" applyNumberFormat="1" applyFont="1" applyFill="1" applyAlignment="1">
      <alignment horizontal="right"/>
    </xf>
    <xf numFmtId="164" fontId="0" fillId="1" borderId="0" xfId="0" applyFill="1" applyBorder="1" applyAlignment="1">
      <alignment/>
    </xf>
    <xf numFmtId="164" fontId="27" fillId="1" borderId="0" xfId="0" applyFont="1" applyFill="1" applyAlignment="1">
      <alignment/>
    </xf>
    <xf numFmtId="3" fontId="27" fillId="1" borderId="0" xfId="0" applyNumberFormat="1" applyFont="1" applyFill="1" applyAlignment="1">
      <alignment/>
    </xf>
    <xf numFmtId="164" fontId="27" fillId="1" borderId="0" xfId="0" applyFont="1" applyFill="1" applyBorder="1" applyAlignment="1">
      <alignment/>
    </xf>
    <xf numFmtId="164" fontId="0" fillId="1" borderId="0" xfId="0" applyFill="1" applyAlignment="1">
      <alignment/>
    </xf>
    <xf numFmtId="3" fontId="0" fillId="1" borderId="0" xfId="0" applyNumberFormat="1" applyFill="1" applyAlignment="1">
      <alignment/>
    </xf>
    <xf numFmtId="164" fontId="0" fillId="1" borderId="9" xfId="0" applyFill="1" applyBorder="1" applyAlignment="1">
      <alignment/>
    </xf>
    <xf numFmtId="164" fontId="0" fillId="0" borderId="9" xfId="0" applyBorder="1" applyAlignment="1">
      <alignment/>
    </xf>
    <xf numFmtId="6" fontId="35" fillId="0" borderId="0" xfId="0" applyNumberFormat="1" applyFont="1" applyAlignment="1">
      <alignment horizontal="right"/>
    </xf>
    <xf numFmtId="6" fontId="43" fillId="0" borderId="0" xfId="0" applyNumberFormat="1" applyFont="1" applyAlignment="1">
      <alignment horizontal="right"/>
    </xf>
    <xf numFmtId="164" fontId="44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3" fontId="30" fillId="0" borderId="6" xfId="0" applyNumberFormat="1" applyFont="1" applyBorder="1" applyAlignment="1">
      <alignment/>
    </xf>
    <xf numFmtId="164" fontId="30" fillId="0" borderId="6" xfId="0" applyFont="1" applyBorder="1" applyAlignment="1">
      <alignment/>
    </xf>
    <xf numFmtId="3" fontId="30" fillId="0" borderId="6" xfId="17" applyNumberFormat="1" applyFont="1" applyBorder="1" applyAlignment="1">
      <alignment/>
    </xf>
    <xf numFmtId="164" fontId="30" fillId="0" borderId="6" xfId="0" applyFont="1" applyBorder="1" applyAlignment="1">
      <alignment horizontal="center"/>
    </xf>
    <xf numFmtId="6" fontId="30" fillId="5" borderId="6" xfId="17" applyNumberFormat="1" applyFont="1" applyFill="1" applyBorder="1" applyAlignment="1">
      <alignment horizontal="right"/>
    </xf>
    <xf numFmtId="3" fontId="30" fillId="0" borderId="0" xfId="17" applyNumberFormat="1" applyFont="1" applyBorder="1" applyAlignment="1">
      <alignment/>
    </xf>
    <xf numFmtId="164" fontId="30" fillId="0" borderId="0" xfId="0" applyFont="1" applyBorder="1" applyAlignment="1">
      <alignment/>
    </xf>
    <xf numFmtId="6" fontId="30" fillId="5" borderId="0" xfId="17" applyNumberFormat="1" applyFont="1" applyFill="1" applyBorder="1" applyAlignment="1">
      <alignment horizontal="right"/>
    </xf>
    <xf numFmtId="164" fontId="30" fillId="0" borderId="0" xfId="0" applyFont="1" applyBorder="1" applyAlignment="1">
      <alignment horizontal="center"/>
    </xf>
    <xf numFmtId="164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2" fillId="0" borderId="0" xfId="17" applyNumberFormat="1" applyFont="1" applyAlignment="1">
      <alignment/>
    </xf>
    <xf numFmtId="3" fontId="38" fillId="0" borderId="8" xfId="0" applyNumberFormat="1" applyFont="1" applyBorder="1" applyAlignment="1">
      <alignment/>
    </xf>
    <xf numFmtId="164" fontId="0" fillId="0" borderId="6" xfId="0" applyBorder="1" applyAlignment="1">
      <alignment/>
    </xf>
    <xf numFmtId="164" fontId="29" fillId="0" borderId="6" xfId="0" applyFont="1" applyBorder="1" applyAlignment="1">
      <alignment/>
    </xf>
    <xf numFmtId="164" fontId="40" fillId="0" borderId="6" xfId="0" applyFont="1" applyBorder="1" applyAlignment="1">
      <alignment/>
    </xf>
    <xf numFmtId="164" fontId="41" fillId="0" borderId="6" xfId="0" applyFont="1" applyBorder="1" applyAlignment="1">
      <alignment/>
    </xf>
    <xf numFmtId="164" fontId="27" fillId="0" borderId="6" xfId="0" applyFont="1" applyBorder="1" applyAlignment="1">
      <alignment horizontal="center"/>
    </xf>
    <xf numFmtId="9" fontId="3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38" fillId="5" borderId="0" xfId="17" applyNumberFormat="1" applyFont="1" applyFill="1" applyBorder="1" applyAlignment="1">
      <alignment horizontal="right"/>
    </xf>
    <xf numFmtId="6" fontId="38" fillId="5" borderId="8" xfId="17" applyNumberFormat="1" applyFont="1" applyFill="1" applyBorder="1" applyAlignment="1">
      <alignment horizontal="right"/>
    </xf>
    <xf numFmtId="6" fontId="29" fillId="5" borderId="6" xfId="0" applyNumberFormat="1" applyFont="1" applyFill="1" applyBorder="1" applyAlignment="1">
      <alignment horizontal="right"/>
    </xf>
    <xf numFmtId="164" fontId="29" fillId="5" borderId="7" xfId="0" applyFont="1" applyFill="1" applyBorder="1" applyAlignment="1">
      <alignment horizontal="right"/>
    </xf>
    <xf numFmtId="44" fontId="30" fillId="0" borderId="9" xfId="17" applyFont="1" applyBorder="1" applyAlignment="1">
      <alignment horizontal="right"/>
    </xf>
    <xf numFmtId="1" fontId="27" fillId="0" borderId="10" xfId="0" applyNumberFormat="1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27" fillId="0" borderId="11" xfId="0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164" fontId="27" fillId="0" borderId="11" xfId="0" applyFont="1" applyBorder="1" applyAlignment="1">
      <alignment/>
    </xf>
    <xf numFmtId="164" fontId="42" fillId="0" borderId="12" xfId="0" applyFont="1" applyBorder="1" applyAlignment="1">
      <alignment horizontal="right"/>
    </xf>
    <xf numFmtId="164" fontId="27" fillId="0" borderId="9" xfId="0" applyFont="1" applyBorder="1" applyAlignment="1">
      <alignment horizontal="centerContinuous"/>
    </xf>
    <xf numFmtId="164" fontId="29" fillId="0" borderId="0" xfId="0" applyFont="1" applyBorder="1" applyAlignment="1">
      <alignment horizontal="right"/>
    </xf>
    <xf numFmtId="164" fontId="30" fillId="0" borderId="0" xfId="0" applyFont="1" applyBorder="1" applyAlignment="1">
      <alignment horizontal="right"/>
    </xf>
    <xf numFmtId="164" fontId="27" fillId="9" borderId="9" xfId="0" applyFont="1" applyFill="1" applyBorder="1" applyAlignment="1">
      <alignment/>
    </xf>
    <xf numFmtId="164" fontId="29" fillId="9" borderId="13" xfId="0" applyFont="1" applyFill="1" applyBorder="1" applyAlignment="1">
      <alignment horizontal="center"/>
    </xf>
    <xf numFmtId="164" fontId="27" fillId="9" borderId="14" xfId="0" applyFont="1" applyFill="1" applyBorder="1" applyAlignment="1">
      <alignment/>
    </xf>
    <xf numFmtId="164" fontId="42" fillId="0" borderId="13" xfId="0" applyFont="1" applyBorder="1" applyAlignment="1">
      <alignment horizontal="left"/>
    </xf>
    <xf numFmtId="164" fontId="0" fillId="0" borderId="14" xfId="0" applyBorder="1" applyAlignment="1">
      <alignment/>
    </xf>
    <xf numFmtId="164" fontId="30" fillId="0" borderId="13" xfId="0" applyFont="1" applyBorder="1" applyAlignment="1">
      <alignment horizontal="left"/>
    </xf>
    <xf numFmtId="164" fontId="42" fillId="0" borderId="13" xfId="0" applyFont="1" applyBorder="1" applyAlignment="1">
      <alignment horizontal="left"/>
    </xf>
    <xf numFmtId="164" fontId="0" fillId="0" borderId="13" xfId="0" applyBorder="1" applyAlignment="1">
      <alignment/>
    </xf>
    <xf numFmtId="164" fontId="27" fillId="0" borderId="14" xfId="0" applyFont="1" applyBorder="1" applyAlignment="1">
      <alignment horizontal="right"/>
    </xf>
    <xf numFmtId="164" fontId="42" fillId="0" borderId="14" xfId="0" applyFont="1" applyBorder="1" applyAlignment="1">
      <alignment horizontal="left"/>
    </xf>
    <xf numFmtId="164" fontId="30" fillId="0" borderId="0" xfId="0" applyFont="1" applyAlignment="1">
      <alignment/>
    </xf>
    <xf numFmtId="164" fontId="33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5" borderId="13" xfId="0" applyFill="1" applyBorder="1" applyAlignment="1">
      <alignment/>
    </xf>
    <xf numFmtId="164" fontId="0" fillId="0" borderId="7" xfId="0" applyBorder="1" applyAlignment="1">
      <alignment/>
    </xf>
    <xf numFmtId="164" fontId="12" fillId="0" borderId="0" xfId="0" applyFont="1" applyAlignment="1">
      <alignment/>
    </xf>
    <xf numFmtId="164" fontId="0" fillId="0" borderId="0" xfId="0" applyAlignment="1">
      <alignment horizontal="left"/>
    </xf>
    <xf numFmtId="164" fontId="23" fillId="0" borderId="0" xfId="0" applyFont="1" applyAlignment="1">
      <alignment/>
    </xf>
    <xf numFmtId="3" fontId="12" fillId="4" borderId="6" xfId="0" applyNumberFormat="1" applyFont="1" applyFill="1" applyBorder="1" applyAlignment="1" applyProtection="1">
      <alignment/>
      <protection/>
    </xf>
    <xf numFmtId="3" fontId="15" fillId="0" borderId="15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Flow Statement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5"/>
          <c:w val="0.853"/>
          <c:h val="0.6395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NET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Cashflow!$E$25:$T$25</c:f>
              <c:numCache>
                <c:ptCount val="16"/>
                <c:pt idx="0">
                  <c:v>0</c:v>
                </c:pt>
                <c:pt idx="1">
                  <c:v>9389.1</c:v>
                </c:pt>
                <c:pt idx="2">
                  <c:v>9767.877</c:v>
                </c:pt>
                <c:pt idx="3">
                  <c:v>10259.61237</c:v>
                </c:pt>
                <c:pt idx="4">
                  <c:v>10776.2018301</c:v>
                </c:pt>
                <c:pt idx="5">
                  <c:v>11318.906797317</c:v>
                </c:pt>
                <c:pt idx="6">
                  <c:v>11889.052989198211</c:v>
                </c:pt>
                <c:pt idx="7">
                  <c:v>12488.033716905473</c:v>
                </c:pt>
                <c:pt idx="8">
                  <c:v>13117.313347808438</c:v>
                </c:pt>
                <c:pt idx="9">
                  <c:v>13778.43094636015</c:v>
                </c:pt>
                <c:pt idx="10">
                  <c:v>14473.004102485254</c:v>
                </c:pt>
                <c:pt idx="11">
                  <c:v>15202.73295719222</c:v>
                </c:pt>
                <c:pt idx="12">
                  <c:v>15969.404435626564</c:v>
                </c:pt>
                <c:pt idx="13">
                  <c:v>16774.896698314857</c:v>
                </c:pt>
                <c:pt idx="14">
                  <c:v>17621.183821909635</c:v>
                </c:pt>
                <c:pt idx="15">
                  <c:v>18510.340721335266</c:v>
                </c:pt>
              </c:numCache>
            </c:numRef>
          </c:val>
          <c:smooth val="0"/>
        </c:ser>
        <c:ser>
          <c:idx val="2"/>
          <c:order val="2"/>
          <c:tx>
            <c:v>NET CASH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Cashflow!$E$3:$T$3</c:f>
              <c:strCache>
                <c:ptCount val="16"/>
                <c:pt idx="0">
                  <c:v>Construct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  <c:pt idx="11">
                  <c:v>year 11</c:v>
                </c:pt>
                <c:pt idx="12">
                  <c:v>year 12</c:v>
                </c:pt>
                <c:pt idx="13">
                  <c:v>year 13</c:v>
                </c:pt>
                <c:pt idx="14">
                  <c:v>year 14</c:v>
                </c:pt>
                <c:pt idx="15">
                  <c:v>year 15</c:v>
                </c:pt>
              </c:strCache>
            </c:strRef>
          </c:cat>
          <c:val>
            <c:numRef>
              <c:f>Cashflow!#REF!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965619"/>
        <c:crosses val="autoZero"/>
        <c:auto val="0"/>
        <c:lblOffset val="100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8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75"/>
          <c:y val="0.82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10</xdr:col>
      <xdr:colOff>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943475" y="342900"/>
        <a:ext cx="3190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3">
      <selection activeCell="B7" sqref="B7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13.140625" style="0" customWidth="1"/>
    <col min="4" max="4" width="14.421875" style="53" customWidth="1"/>
    <col min="5" max="5" width="15.00390625" style="53" customWidth="1"/>
  </cols>
  <sheetData>
    <row r="1" spans="2:7" ht="25.5" customHeight="1">
      <c r="B1" s="90" t="s">
        <v>101</v>
      </c>
      <c r="C1" s="88"/>
      <c r="D1" s="89"/>
      <c r="E1" s="89"/>
      <c r="F1" s="88"/>
      <c r="G1" s="88"/>
    </row>
    <row r="2" spans="2:7" ht="12.75">
      <c r="B2" s="88"/>
      <c r="C2" s="88"/>
      <c r="D2" s="89"/>
      <c r="E2" s="89"/>
      <c r="F2" s="88"/>
      <c r="G2" s="88"/>
    </row>
    <row r="3" spans="2:7" ht="19.5">
      <c r="B3" s="47" t="s">
        <v>42</v>
      </c>
      <c r="C3" s="48"/>
      <c r="D3" s="82"/>
      <c r="E3" s="82"/>
      <c r="F3" s="82"/>
      <c r="G3" s="82"/>
    </row>
    <row r="4" ht="12.75">
      <c r="B4" s="9" t="s">
        <v>46</v>
      </c>
    </row>
    <row r="5" ht="12.75">
      <c r="B5" t="s">
        <v>129</v>
      </c>
    </row>
    <row r="6" ht="12.75">
      <c r="B6" t="s">
        <v>191</v>
      </c>
    </row>
    <row r="7" ht="12.75">
      <c r="B7" t="s">
        <v>130</v>
      </c>
    </row>
    <row r="8" ht="12.75">
      <c r="B8" t="s">
        <v>99</v>
      </c>
    </row>
    <row r="9" spans="2:4" ht="12.75">
      <c r="B9" t="s">
        <v>98</v>
      </c>
      <c r="D9" s="129"/>
    </row>
    <row r="10" spans="1:4" ht="12.75">
      <c r="A10" s="29"/>
      <c r="B10" t="s">
        <v>47</v>
      </c>
      <c r="D10" s="84"/>
    </row>
    <row r="11" spans="2:5" ht="12.75">
      <c r="B11" t="s">
        <v>100</v>
      </c>
      <c r="E11" s="83"/>
    </row>
    <row r="12" spans="2:5" ht="12.75">
      <c r="B12" t="s">
        <v>44</v>
      </c>
      <c r="D12" s="137"/>
      <c r="E12" s="84"/>
    </row>
    <row r="13" ht="12.75">
      <c r="B13" t="s">
        <v>51</v>
      </c>
    </row>
    <row r="14" ht="12.75">
      <c r="B14" t="s">
        <v>49</v>
      </c>
    </row>
    <row r="15" ht="12.75">
      <c r="B15" t="s">
        <v>50</v>
      </c>
    </row>
    <row r="16" spans="2:5" ht="12.75">
      <c r="B16" s="30" t="s">
        <v>102</v>
      </c>
      <c r="C16" s="31"/>
      <c r="E16" s="63">
        <v>656599000</v>
      </c>
    </row>
    <row r="17" spans="2:5" ht="12.75">
      <c r="B17" s="30"/>
      <c r="C17" s="31"/>
      <c r="D17" s="137"/>
      <c r="E17" s="110"/>
    </row>
    <row r="18" spans="2:5" ht="12.75">
      <c r="B18" s="9" t="s">
        <v>12</v>
      </c>
      <c r="D18" s="138"/>
      <c r="E18" s="111"/>
    </row>
    <row r="19" spans="2:5" ht="12.75">
      <c r="B19" s="3" t="s">
        <v>105</v>
      </c>
      <c r="E19" s="112">
        <v>164150000</v>
      </c>
    </row>
    <row r="20" spans="2:5" ht="12.75">
      <c r="B20" s="3" t="s">
        <v>15</v>
      </c>
      <c r="D20" s="138"/>
      <c r="E20" s="112">
        <v>19698000</v>
      </c>
    </row>
    <row r="21" spans="2:5" ht="12.75">
      <c r="B21" s="3" t="s">
        <v>52</v>
      </c>
      <c r="E21" s="112">
        <v>26264000</v>
      </c>
    </row>
    <row r="22" spans="2:5" ht="12.75">
      <c r="B22" s="42"/>
      <c r="C22" s="45" t="s">
        <v>0</v>
      </c>
      <c r="D22" s="139"/>
      <c r="E22" s="113">
        <f>SUM(E19:E21)</f>
        <v>210112000</v>
      </c>
    </row>
    <row r="23" spans="2:5" ht="13.5" thickBot="1">
      <c r="B23" s="46" t="s">
        <v>88</v>
      </c>
      <c r="C23" s="41"/>
      <c r="E23" s="65">
        <f>SUM(E16-E22)</f>
        <v>446487000</v>
      </c>
    </row>
    <row r="24" spans="2:5" ht="13.5" thickTop="1">
      <c r="B24" s="3" t="s">
        <v>131</v>
      </c>
      <c r="C24" s="53">
        <v>88400000</v>
      </c>
      <c r="E24" s="120">
        <f>SUM(E23/C24)</f>
        <v>5.050757918552036</v>
      </c>
    </row>
    <row r="25" spans="2:5" ht="12.75">
      <c r="B25" s="43" t="s">
        <v>132</v>
      </c>
      <c r="C25" s="44">
        <v>25</v>
      </c>
      <c r="E25" s="84"/>
    </row>
    <row r="26" spans="2:6" ht="12.75">
      <c r="B26" s="33" t="s">
        <v>133</v>
      </c>
      <c r="C26" s="20"/>
      <c r="E26" s="120">
        <f>SUM(E24/C25)</f>
        <v>0.20203031674208144</v>
      </c>
      <c r="F26" t="s">
        <v>134</v>
      </c>
    </row>
    <row r="27" spans="2:3" ht="12.75">
      <c r="B27" s="33"/>
      <c r="C27" s="20"/>
    </row>
    <row r="28" spans="2:3" ht="12.75">
      <c r="B28" s="33"/>
      <c r="C28" s="20"/>
    </row>
    <row r="29" ht="12.75">
      <c r="E29" s="52"/>
    </row>
    <row r="30" spans="2:5" ht="12.75">
      <c r="B30" s="20"/>
      <c r="C30" s="33"/>
      <c r="E30" s="85"/>
    </row>
    <row r="31" spans="2:3" ht="12.75">
      <c r="B31" s="33"/>
      <c r="C31" s="3"/>
    </row>
    <row r="32" spans="2:5" ht="12.75">
      <c r="B32" s="33"/>
      <c r="E32" s="39"/>
    </row>
    <row r="57" ht="12.75">
      <c r="B57" s="2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7">
      <selection activeCell="J36" sqref="J36"/>
    </sheetView>
  </sheetViews>
  <sheetFormatPr defaultColWidth="9.140625" defaultRowHeight="12.75"/>
  <cols>
    <col min="4" max="4" width="10.57421875" style="0" customWidth="1"/>
    <col min="5" max="5" width="9.28125" style="51" bestFit="1" customWidth="1"/>
    <col min="7" max="7" width="11.7109375" style="0" customWidth="1"/>
    <col min="8" max="8" width="9.140625" style="179" customWidth="1"/>
    <col min="10" max="10" width="11.57421875" style="0" customWidth="1"/>
    <col min="11" max="11" width="15.7109375" style="0" customWidth="1"/>
  </cols>
  <sheetData>
    <row r="1" spans="1:9" ht="15.75">
      <c r="A1" s="42"/>
      <c r="B1" s="145"/>
      <c r="C1" s="146" t="s">
        <v>192</v>
      </c>
      <c r="D1" s="145"/>
      <c r="E1" s="147"/>
      <c r="F1" s="148"/>
      <c r="G1" s="149" t="str">
        <f>"[in $1,000s]"</f>
        <v>[in $1,000s]</v>
      </c>
      <c r="H1" s="215"/>
      <c r="I1" s="42"/>
    </row>
    <row r="2" spans="1:9" ht="12.75">
      <c r="A2" s="150"/>
      <c r="B2" s="151" t="s">
        <v>193</v>
      </c>
      <c r="C2" s="152"/>
      <c r="D2" s="152"/>
      <c r="E2" s="153" t="s">
        <v>234</v>
      </c>
      <c r="F2" s="154" t="s">
        <v>194</v>
      </c>
      <c r="G2" s="207" t="s">
        <v>233</v>
      </c>
      <c r="H2" s="216"/>
      <c r="I2" s="42"/>
    </row>
    <row r="3" spans="1:9" ht="12.75">
      <c r="A3" s="42"/>
      <c r="B3" s="155" t="s">
        <v>195</v>
      </c>
      <c r="C3" s="155"/>
      <c r="D3" s="155"/>
      <c r="E3" s="156">
        <v>1750</v>
      </c>
      <c r="F3" s="157" t="s">
        <v>196</v>
      </c>
      <c r="G3" s="158">
        <f>SUM(E3*5)</f>
        <v>8750</v>
      </c>
      <c r="H3" s="208"/>
      <c r="I3" s="42"/>
    </row>
    <row r="4" spans="1:9" ht="12.75">
      <c r="A4" s="42"/>
      <c r="B4" s="159" t="s">
        <v>197</v>
      </c>
      <c r="C4" s="155"/>
      <c r="D4" s="155"/>
      <c r="E4" s="156">
        <v>1000</v>
      </c>
      <c r="F4" s="157" t="s">
        <v>198</v>
      </c>
      <c r="G4" s="158">
        <f aca="true" t="shared" si="0" ref="G4:G16">SUM(E4*5)</f>
        <v>5000</v>
      </c>
      <c r="H4" s="208"/>
      <c r="I4" s="42"/>
    </row>
    <row r="5" spans="1:12" ht="13.5" customHeight="1">
      <c r="A5" s="42"/>
      <c r="B5" s="228" t="s">
        <v>199</v>
      </c>
      <c r="C5" s="228"/>
      <c r="D5" s="228"/>
      <c r="E5" s="156">
        <v>500</v>
      </c>
      <c r="F5" s="157" t="s">
        <v>198</v>
      </c>
      <c r="G5" s="158">
        <f t="shared" si="0"/>
        <v>2500</v>
      </c>
      <c r="H5" s="208"/>
      <c r="I5" s="42"/>
      <c r="J5" s="160"/>
      <c r="K5" s="161"/>
      <c r="L5" s="160"/>
    </row>
    <row r="6" spans="1:10" ht="12.75">
      <c r="A6" s="42"/>
      <c r="B6" s="229" t="s">
        <v>200</v>
      </c>
      <c r="C6" s="229"/>
      <c r="D6" s="229"/>
      <c r="E6" s="156">
        <f>SUM(105*8.8)</f>
        <v>924.0000000000001</v>
      </c>
      <c r="F6" s="157" t="s">
        <v>198</v>
      </c>
      <c r="G6" s="158">
        <f t="shared" si="0"/>
        <v>4620.000000000001</v>
      </c>
      <c r="H6" s="208"/>
      <c r="I6" s="42"/>
      <c r="J6" s="162"/>
    </row>
    <row r="7" spans="1:15" ht="12.75">
      <c r="A7" s="42"/>
      <c r="B7" s="155" t="s">
        <v>201</v>
      </c>
      <c r="C7" s="155"/>
      <c r="D7" s="155"/>
      <c r="E7" s="163">
        <f>SUM(4.3*105)</f>
        <v>451.5</v>
      </c>
      <c r="F7" s="157" t="s">
        <v>198</v>
      </c>
      <c r="G7" s="158">
        <f t="shared" si="0"/>
        <v>2257.5</v>
      </c>
      <c r="H7" s="208"/>
      <c r="I7" s="42"/>
      <c r="L7" s="164" t="s">
        <v>202</v>
      </c>
      <c r="N7" s="165" t="s">
        <v>203</v>
      </c>
      <c r="O7" s="165" t="s">
        <v>204</v>
      </c>
    </row>
    <row r="8" spans="1:12" ht="12.75">
      <c r="A8" s="42"/>
      <c r="B8" s="155" t="s">
        <v>205</v>
      </c>
      <c r="C8" s="155"/>
      <c r="D8" s="155"/>
      <c r="E8" s="156">
        <f>40</f>
        <v>40</v>
      </c>
      <c r="F8" s="157" t="s">
        <v>198</v>
      </c>
      <c r="G8" s="158">
        <f t="shared" si="0"/>
        <v>200</v>
      </c>
      <c r="H8" s="208"/>
      <c r="I8" s="42"/>
      <c r="J8" s="165"/>
      <c r="L8" s="166">
        <v>3000</v>
      </c>
    </row>
    <row r="9" spans="1:12" ht="12.75">
      <c r="A9" s="42"/>
      <c r="B9" s="159" t="s">
        <v>206</v>
      </c>
      <c r="C9" s="155"/>
      <c r="D9" s="155"/>
      <c r="E9" s="156">
        <v>253</v>
      </c>
      <c r="F9" s="157" t="s">
        <v>198</v>
      </c>
      <c r="G9" s="158">
        <f t="shared" si="0"/>
        <v>1265</v>
      </c>
      <c r="H9" s="208"/>
      <c r="I9" s="42"/>
      <c r="J9" s="165"/>
      <c r="L9" s="166">
        <v>2500</v>
      </c>
    </row>
    <row r="10" spans="1:12" ht="12.75">
      <c r="A10" s="42"/>
      <c r="B10" s="155" t="s">
        <v>207</v>
      </c>
      <c r="C10" s="155"/>
      <c r="D10" s="155"/>
      <c r="E10" s="163">
        <v>700</v>
      </c>
      <c r="F10" s="157" t="s">
        <v>198</v>
      </c>
      <c r="G10" s="158">
        <f t="shared" si="0"/>
        <v>3500</v>
      </c>
      <c r="H10" s="208"/>
      <c r="I10" s="42"/>
      <c r="J10" s="165"/>
      <c r="L10" s="166">
        <v>925</v>
      </c>
    </row>
    <row r="11" spans="1:12" ht="12.75">
      <c r="A11" s="42"/>
      <c r="B11" s="155" t="s">
        <v>208</v>
      </c>
      <c r="C11" s="155"/>
      <c r="D11" s="167"/>
      <c r="E11" s="156">
        <v>1700</v>
      </c>
      <c r="F11" s="157" t="s">
        <v>209</v>
      </c>
      <c r="G11" s="158">
        <f t="shared" si="0"/>
        <v>8500</v>
      </c>
      <c r="H11" s="208"/>
      <c r="I11" s="42"/>
      <c r="J11" s="165"/>
      <c r="L11" s="166">
        <v>253</v>
      </c>
    </row>
    <row r="12" spans="1:12" ht="12.75">
      <c r="A12" s="42"/>
      <c r="B12" s="155" t="s">
        <v>210</v>
      </c>
      <c r="C12" s="155"/>
      <c r="D12" s="155"/>
      <c r="E12" s="156">
        <v>1700</v>
      </c>
      <c r="F12" s="157" t="s">
        <v>211</v>
      </c>
      <c r="G12" s="158">
        <f>SUM(E12*9)</f>
        <v>15300</v>
      </c>
      <c r="H12" s="208"/>
      <c r="I12" s="42"/>
      <c r="J12" s="165"/>
      <c r="L12" s="166">
        <v>630</v>
      </c>
    </row>
    <row r="13" spans="1:12" ht="12.75">
      <c r="A13" s="42"/>
      <c r="B13" s="155" t="s">
        <v>212</v>
      </c>
      <c r="C13" s="155"/>
      <c r="D13" s="155"/>
      <c r="E13" s="156">
        <v>200</v>
      </c>
      <c r="F13" s="157" t="s">
        <v>213</v>
      </c>
      <c r="G13" s="158">
        <f t="shared" si="0"/>
        <v>1000</v>
      </c>
      <c r="H13" s="208"/>
      <c r="I13" s="42"/>
      <c r="J13" s="165"/>
      <c r="K13" s="165"/>
      <c r="L13" s="166">
        <v>202</v>
      </c>
    </row>
    <row r="14" spans="1:12" ht="12.75">
      <c r="A14" s="42"/>
      <c r="B14" s="155" t="s">
        <v>235</v>
      </c>
      <c r="C14" s="155"/>
      <c r="D14" s="155"/>
      <c r="E14" s="156">
        <v>1360</v>
      </c>
      <c r="F14" s="157" t="s">
        <v>214</v>
      </c>
      <c r="G14" s="158">
        <f t="shared" si="0"/>
        <v>6800</v>
      </c>
      <c r="H14" s="208"/>
      <c r="I14" s="42"/>
      <c r="J14" s="165"/>
      <c r="L14" s="166">
        <v>700</v>
      </c>
    </row>
    <row r="15" spans="1:12" ht="12.75">
      <c r="A15" s="42"/>
      <c r="B15" s="155" t="s">
        <v>215</v>
      </c>
      <c r="E15" s="51">
        <v>800</v>
      </c>
      <c r="G15" s="158">
        <f t="shared" si="0"/>
        <v>4000</v>
      </c>
      <c r="H15" s="208"/>
      <c r="I15" s="42"/>
      <c r="J15" s="165"/>
      <c r="L15" s="166">
        <v>20</v>
      </c>
    </row>
    <row r="16" spans="1:12" ht="12.75">
      <c r="A16" s="42"/>
      <c r="B16" s="155" t="s">
        <v>216</v>
      </c>
      <c r="C16" s="155"/>
      <c r="D16" s="155"/>
      <c r="E16" s="184">
        <v>1600</v>
      </c>
      <c r="F16" s="155"/>
      <c r="G16" s="188">
        <f t="shared" si="0"/>
        <v>8000</v>
      </c>
      <c r="H16" s="208"/>
      <c r="I16" s="42"/>
      <c r="J16" s="165"/>
      <c r="L16" s="166">
        <v>451</v>
      </c>
    </row>
    <row r="17" spans="1:12" ht="12.75">
      <c r="A17" s="42"/>
      <c r="B17" s="155" t="s">
        <v>217</v>
      </c>
      <c r="C17" s="155"/>
      <c r="D17" s="189" t="s">
        <v>1</v>
      </c>
      <c r="E17" s="194">
        <f>SUM(E3:E16)</f>
        <v>12978.5</v>
      </c>
      <c r="F17" s="190"/>
      <c r="G17" s="204">
        <f>SUM(G3:G16)</f>
        <v>71692.5</v>
      </c>
      <c r="H17" s="208"/>
      <c r="I17" s="42"/>
      <c r="J17" s="165"/>
      <c r="L17" s="166">
        <v>1700</v>
      </c>
    </row>
    <row r="18" spans="1:12" ht="12.75">
      <c r="A18" s="42"/>
      <c r="D18" s="185"/>
      <c r="E18" s="186"/>
      <c r="F18" s="187"/>
      <c r="G18" s="188"/>
      <c r="H18" s="217"/>
      <c r="I18" s="42"/>
      <c r="J18" s="165"/>
      <c r="K18" s="165"/>
      <c r="L18" s="166">
        <v>403</v>
      </c>
    </row>
    <row r="19" spans="1:12" ht="12.75">
      <c r="A19" s="42"/>
      <c r="B19" s="168" t="s">
        <v>218</v>
      </c>
      <c r="C19" s="169"/>
      <c r="D19" s="155"/>
      <c r="E19" s="156"/>
      <c r="F19" s="157"/>
      <c r="G19" s="158"/>
      <c r="H19" s="208"/>
      <c r="I19" s="42"/>
      <c r="J19" s="170"/>
      <c r="L19" s="166">
        <v>587</v>
      </c>
    </row>
    <row r="20" spans="1:12" ht="12.75">
      <c r="A20" s="42"/>
      <c r="B20" s="155" t="s">
        <v>219</v>
      </c>
      <c r="C20" s="155"/>
      <c r="D20" s="155"/>
      <c r="E20" s="156">
        <v>792</v>
      </c>
      <c r="F20" s="157" t="s">
        <v>1</v>
      </c>
      <c r="G20" s="158">
        <f>0.0543*G17</f>
        <v>3892.90275</v>
      </c>
      <c r="H20" s="208"/>
      <c r="I20" s="42"/>
      <c r="J20" s="164"/>
      <c r="L20" s="166">
        <v>88</v>
      </c>
    </row>
    <row r="21" spans="1:10" ht="12.75">
      <c r="A21" s="42"/>
      <c r="B21" s="155" t="s">
        <v>236</v>
      </c>
      <c r="C21" s="155"/>
      <c r="D21" s="155"/>
      <c r="E21" s="156">
        <v>437</v>
      </c>
      <c r="F21" s="157"/>
      <c r="G21" s="158">
        <f>G17*0.03</f>
        <v>2150.775</v>
      </c>
      <c r="H21" s="208"/>
      <c r="I21" s="42"/>
      <c r="J21" s="166"/>
    </row>
    <row r="22" spans="1:10" ht="12.75">
      <c r="A22" s="42"/>
      <c r="B22" s="190" t="s">
        <v>220</v>
      </c>
      <c r="C22" s="190"/>
      <c r="D22" s="190"/>
      <c r="E22" s="163">
        <v>2188</v>
      </c>
      <c r="F22" s="192"/>
      <c r="G22" s="171">
        <f>G17*0.15</f>
        <v>10753.875</v>
      </c>
      <c r="H22" s="208"/>
      <c r="I22" s="42"/>
      <c r="J22" s="166"/>
    </row>
    <row r="23" spans="1:10" ht="12.75">
      <c r="A23" s="42"/>
      <c r="B23" s="193" t="s">
        <v>221</v>
      </c>
      <c r="C23" s="190"/>
      <c r="D23" s="190"/>
      <c r="E23" s="196">
        <f>SUM(E20:E22)</f>
        <v>3417</v>
      </c>
      <c r="F23" s="192"/>
      <c r="G23" s="205">
        <f>SUM(G20:G22)</f>
        <v>16797.552750000003</v>
      </c>
      <c r="H23" s="208"/>
      <c r="I23" s="42"/>
      <c r="J23" s="166"/>
    </row>
    <row r="24" spans="1:10" ht="12.75">
      <c r="A24" s="42"/>
      <c r="B24" s="190"/>
      <c r="C24" s="190"/>
      <c r="D24" s="202"/>
      <c r="E24" s="203"/>
      <c r="F24" s="192"/>
      <c r="G24" s="191"/>
      <c r="H24" s="208"/>
      <c r="I24" s="42"/>
      <c r="J24" s="166"/>
    </row>
    <row r="25" spans="1:10" ht="15.75">
      <c r="A25" s="197"/>
      <c r="B25" s="198" t="s">
        <v>222</v>
      </c>
      <c r="C25" s="199"/>
      <c r="D25" s="200"/>
      <c r="E25" s="195">
        <f>SUM(E17+E23)</f>
        <v>16395.5</v>
      </c>
      <c r="F25" s="201"/>
      <c r="G25" s="206">
        <f>SUM(G17+G23)</f>
        <v>88490.05275</v>
      </c>
      <c r="H25" s="208"/>
      <c r="I25" s="42"/>
      <c r="J25" s="166"/>
    </row>
    <row r="26" spans="1:10" ht="12.75">
      <c r="A26" s="172"/>
      <c r="B26" s="173"/>
      <c r="C26" s="173"/>
      <c r="D26" s="173"/>
      <c r="E26" s="174"/>
      <c r="F26" s="219" t="s">
        <v>2</v>
      </c>
      <c r="G26" s="220"/>
      <c r="H26" s="218"/>
      <c r="J26" s="166"/>
    </row>
    <row r="27" spans="1:10" ht="12.75">
      <c r="A27" s="172"/>
      <c r="B27" s="175"/>
      <c r="C27" s="176"/>
      <c r="D27" s="176"/>
      <c r="E27" s="177"/>
      <c r="F27" s="221" t="s">
        <v>223</v>
      </c>
      <c r="G27" s="222"/>
      <c r="H27" s="209">
        <v>100</v>
      </c>
      <c r="J27" s="166"/>
    </row>
    <row r="28" spans="1:10" ht="12.75">
      <c r="A28" s="172"/>
      <c r="B28" s="173"/>
      <c r="C28" s="176"/>
      <c r="D28" s="176"/>
      <c r="E28" s="177"/>
      <c r="F28" s="223" t="s">
        <v>224</v>
      </c>
      <c r="G28" s="222"/>
      <c r="H28" s="210">
        <v>88</v>
      </c>
      <c r="J28" s="166"/>
    </row>
    <row r="29" spans="1:10" ht="12.75">
      <c r="A29" s="172"/>
      <c r="B29" s="176"/>
      <c r="C29" s="176"/>
      <c r="D29" s="176"/>
      <c r="E29" s="177"/>
      <c r="F29" s="224" t="s">
        <v>225</v>
      </c>
      <c r="G29" s="222"/>
      <c r="H29" s="211">
        <v>5</v>
      </c>
      <c r="J29" s="166"/>
    </row>
    <row r="30" spans="1:10" ht="12.75">
      <c r="A30" s="172"/>
      <c r="B30" s="176"/>
      <c r="C30" s="176"/>
      <c r="D30" s="176"/>
      <c r="E30" s="177"/>
      <c r="F30" s="224" t="s">
        <v>226</v>
      </c>
      <c r="G30" s="222"/>
      <c r="H30" s="211">
        <v>30</v>
      </c>
      <c r="J30" s="166"/>
    </row>
    <row r="31" spans="1:10" ht="12.75">
      <c r="A31" s="172"/>
      <c r="B31" s="176"/>
      <c r="C31" s="176"/>
      <c r="D31" s="176"/>
      <c r="E31" s="177"/>
      <c r="F31" s="224" t="s">
        <v>227</v>
      </c>
      <c r="G31" s="222"/>
      <c r="H31" s="211" t="s">
        <v>237</v>
      </c>
      <c r="J31" s="166"/>
    </row>
    <row r="32" spans="1:10" ht="12.75">
      <c r="A32" s="172"/>
      <c r="B32" s="176"/>
      <c r="C32" s="176"/>
      <c r="D32" s="176"/>
      <c r="E32" s="177"/>
      <c r="F32" s="224" t="s">
        <v>228</v>
      </c>
      <c r="G32" s="222"/>
      <c r="H32" s="212">
        <v>22000</v>
      </c>
      <c r="J32" s="166"/>
    </row>
    <row r="33" spans="1:10" ht="12.75">
      <c r="A33" s="172"/>
      <c r="B33" s="176"/>
      <c r="C33" s="176"/>
      <c r="D33" s="176"/>
      <c r="E33" s="177"/>
      <c r="F33" s="224" t="s">
        <v>238</v>
      </c>
      <c r="G33" s="222"/>
      <c r="H33" s="212">
        <v>1</v>
      </c>
      <c r="J33" s="166"/>
    </row>
    <row r="34" spans="1:10" ht="12.75">
      <c r="A34" s="172"/>
      <c r="B34" s="176"/>
      <c r="C34" s="176"/>
      <c r="D34" s="176"/>
      <c r="E34" s="177"/>
      <c r="F34" s="224" t="s">
        <v>229</v>
      </c>
      <c r="G34" s="222"/>
      <c r="H34" s="212">
        <v>330</v>
      </c>
      <c r="J34" s="165"/>
    </row>
    <row r="35" spans="1:10" ht="12.75">
      <c r="A35" s="178"/>
      <c r="B35" s="176"/>
      <c r="C35" s="176"/>
      <c r="D35" s="176"/>
      <c r="E35" s="177"/>
      <c r="F35" s="224" t="s">
        <v>230</v>
      </c>
      <c r="G35" s="222"/>
      <c r="H35" s="211">
        <v>13</v>
      </c>
      <c r="J35" s="165"/>
    </row>
    <row r="36" spans="1:10" ht="12.75">
      <c r="A36" s="178"/>
      <c r="B36" s="173"/>
      <c r="C36" s="176"/>
      <c r="D36" s="176"/>
      <c r="E36" s="177"/>
      <c r="F36" s="225"/>
      <c r="G36" s="222"/>
      <c r="J36" s="165"/>
    </row>
    <row r="37" spans="1:10" ht="12.75">
      <c r="A37" s="178"/>
      <c r="B37" s="173"/>
      <c r="C37" s="176"/>
      <c r="D37" s="176"/>
      <c r="E37" s="177"/>
      <c r="F37" s="225"/>
      <c r="G37" s="226"/>
      <c r="H37" s="213"/>
      <c r="J37" s="165"/>
    </row>
    <row r="38" spans="1:10" ht="12.75">
      <c r="A38" s="178"/>
      <c r="B38" s="175"/>
      <c r="C38" s="176"/>
      <c r="D38" s="176"/>
      <c r="E38" s="177"/>
      <c r="F38" s="225"/>
      <c r="G38" s="227"/>
      <c r="H38" s="214"/>
      <c r="J38" s="165"/>
    </row>
    <row r="39" ht="12.75">
      <c r="J39" s="165"/>
    </row>
    <row r="40" ht="12.75">
      <c r="J40" s="165"/>
    </row>
    <row r="41" ht="12.75">
      <c r="J41" s="165"/>
    </row>
    <row r="42" ht="12.75">
      <c r="J42" s="165"/>
    </row>
    <row r="43" ht="12.75">
      <c r="J43" s="165"/>
    </row>
    <row r="44" ht="12.75">
      <c r="J44" s="165"/>
    </row>
    <row r="45" ht="12.75">
      <c r="J45" s="165"/>
    </row>
    <row r="46" ht="12.75">
      <c r="J46" s="165"/>
    </row>
    <row r="47" ht="12.75">
      <c r="J47" s="164"/>
    </row>
    <row r="48" ht="12.75">
      <c r="J48" s="180"/>
    </row>
    <row r="49" ht="12.75">
      <c r="J49" s="166"/>
    </row>
    <row r="50" ht="12.75">
      <c r="J50" s="28"/>
    </row>
    <row r="51" ht="12.75">
      <c r="J51" s="28"/>
    </row>
    <row r="52" ht="12.75">
      <c r="J52" s="28"/>
    </row>
    <row r="53" ht="12.75">
      <c r="J53" s="166"/>
    </row>
    <row r="54" ht="12.75">
      <c r="J54" s="166"/>
    </row>
    <row r="55" ht="12.75">
      <c r="J55" s="166"/>
    </row>
    <row r="56" ht="12.75">
      <c r="J56" s="166"/>
    </row>
    <row r="57" ht="12.75">
      <c r="J57" s="166"/>
    </row>
    <row r="58" ht="12.75">
      <c r="J58" s="166"/>
    </row>
    <row r="59" ht="12.75">
      <c r="J59" s="166"/>
    </row>
    <row r="60" ht="12.75">
      <c r="J60" s="181"/>
    </row>
    <row r="61" spans="10:13" ht="12.75">
      <c r="J61" s="182"/>
      <c r="M61" s="182" t="s">
        <v>231</v>
      </c>
    </row>
    <row r="62" spans="10:13" ht="12.75">
      <c r="J62" s="182"/>
      <c r="M62" s="182" t="s">
        <v>232</v>
      </c>
    </row>
    <row r="63" ht="12.75">
      <c r="J63" s="182"/>
    </row>
    <row r="64" ht="12.75">
      <c r="J64" s="182"/>
    </row>
    <row r="65" ht="12.75">
      <c r="J65" s="182"/>
    </row>
    <row r="66" ht="12.75">
      <c r="J66" s="183"/>
    </row>
    <row r="67" ht="12.75">
      <c r="J67" s="183"/>
    </row>
    <row r="68" ht="12.75">
      <c r="J68" s="183"/>
    </row>
    <row r="69" ht="12.75">
      <c r="J69" s="183"/>
    </row>
    <row r="70" ht="12.75">
      <c r="J70" s="183"/>
    </row>
  </sheetData>
  <mergeCells count="2">
    <mergeCell ref="B5:D5"/>
    <mergeCell ref="B6:D6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D13" sqref="D13"/>
    </sheetView>
  </sheetViews>
  <sheetFormatPr defaultColWidth="9.140625" defaultRowHeight="12.75"/>
  <cols>
    <col min="1" max="1" width="18.28125" style="0" customWidth="1"/>
    <col min="4" max="4" width="14.421875" style="53" customWidth="1"/>
  </cols>
  <sheetData>
    <row r="2" ht="12.75">
      <c r="B2" t="s">
        <v>43</v>
      </c>
    </row>
    <row r="5" spans="2:26" ht="12.75">
      <c r="B5" t="s">
        <v>17</v>
      </c>
      <c r="C5" t="s">
        <v>18</v>
      </c>
      <c r="D5" s="5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7" spans="1:26" ht="12.75">
      <c r="A7" t="s">
        <v>16</v>
      </c>
      <c r="B7">
        <f>-Cashflow!E27</f>
        <v>0</v>
      </c>
      <c r="C7">
        <f>-Cashflow!F27</f>
        <v>-17.1</v>
      </c>
      <c r="D7" s="53">
        <f>-Cashflow!G27</f>
        <v>0</v>
      </c>
      <c r="E7">
        <f>-Cashflow!H27</f>
        <v>0</v>
      </c>
      <c r="F7" s="39" t="e">
        <f>+Cashflow!#REF!</f>
        <v>#REF!</v>
      </c>
      <c r="G7" s="39" t="e">
        <f>+Cashflow!#REF!</f>
        <v>#REF!</v>
      </c>
      <c r="H7" s="39" t="e">
        <f>+Cashflow!#REF!</f>
        <v>#REF!</v>
      </c>
      <c r="I7" s="39" t="e">
        <f>+Cashflow!#REF!</f>
        <v>#REF!</v>
      </c>
      <c r="J7" s="39" t="e">
        <f>+Cashflow!#REF!</f>
        <v>#REF!</v>
      </c>
      <c r="K7" s="39" t="e">
        <f>+Cashflow!#REF!</f>
        <v>#REF!</v>
      </c>
      <c r="L7" s="39" t="e">
        <f>+Cashflow!#REF!</f>
        <v>#REF!</v>
      </c>
      <c r="M7" s="39" t="e">
        <f>+Cashflow!#REF!</f>
        <v>#REF!</v>
      </c>
      <c r="N7" s="39" t="e">
        <f>+Cashflow!#REF!</f>
        <v>#REF!</v>
      </c>
      <c r="O7" s="39" t="e">
        <f>+Cashflow!#REF!</f>
        <v>#REF!</v>
      </c>
      <c r="P7" s="39" t="e">
        <f>+Cashflow!#REF!</f>
        <v>#REF!</v>
      </c>
      <c r="Q7" s="39" t="e">
        <f>+Cashflow!#REF!</f>
        <v>#REF!</v>
      </c>
      <c r="R7" s="39" t="e">
        <f>+Cashflow!#REF!</f>
        <v>#REF!</v>
      </c>
      <c r="S7" s="39" t="e">
        <f>+Cashflow!#REF!</f>
        <v>#REF!</v>
      </c>
      <c r="T7" s="39" t="e">
        <f>+Cashflow!#REF!</f>
        <v>#REF!</v>
      </c>
      <c r="U7" s="39" t="e">
        <f>+Cashflow!#REF!</f>
        <v>#REF!</v>
      </c>
      <c r="V7" s="39" t="e">
        <f>+Cashflow!#REF!</f>
        <v>#REF!</v>
      </c>
      <c r="W7" s="39" t="e">
        <f>+Cashflow!#REF!</f>
        <v>#REF!</v>
      </c>
      <c r="X7" s="39" t="e">
        <f>+Cashflow!#REF!</f>
        <v>#REF!</v>
      </c>
      <c r="Y7" s="39" t="e">
        <f>+Cashflow!#REF!</f>
        <v>#REF!</v>
      </c>
      <c r="Z7" s="39" t="e">
        <f>+Cashflow!#REF!</f>
        <v>#REF!</v>
      </c>
    </row>
    <row r="9" spans="1:4" ht="12.75">
      <c r="A9" t="s">
        <v>160</v>
      </c>
      <c r="D9" s="129"/>
    </row>
    <row r="10" spans="1:4" ht="12.75">
      <c r="A10" s="29" t="s">
        <v>159</v>
      </c>
      <c r="B10" s="40" t="e">
        <f>IRR(B7:Z7,0.1)</f>
        <v>#VALUE!</v>
      </c>
      <c r="D10" s="8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1">
      <selection activeCell="F21" sqref="B1:F21"/>
    </sheetView>
  </sheetViews>
  <sheetFormatPr defaultColWidth="9.140625" defaultRowHeight="12.75"/>
  <cols>
    <col min="5" max="5" width="9.8515625" style="51" bestFit="1" customWidth="1"/>
    <col min="6" max="6" width="16.7109375" style="0" customWidth="1"/>
  </cols>
  <sheetData>
    <row r="1" spans="2:5" ht="19.5">
      <c r="B1" s="230" t="s">
        <v>166</v>
      </c>
      <c r="C1" s="231"/>
      <c r="D1" s="231"/>
      <c r="E1" s="231"/>
    </row>
    <row r="2" spans="2:5" ht="13.5" customHeight="1">
      <c r="B2" s="142"/>
      <c r="C2" s="141"/>
      <c r="D2" s="141"/>
      <c r="E2" s="144"/>
    </row>
    <row r="3" spans="2:5" ht="12.75" customHeight="1">
      <c r="B3" s="143" t="s">
        <v>173</v>
      </c>
      <c r="C3" s="141"/>
      <c r="D3" s="141"/>
      <c r="E3" s="144"/>
    </row>
    <row r="5" spans="2:5" ht="12.75">
      <c r="B5" t="s">
        <v>167</v>
      </c>
      <c r="E5" s="51">
        <v>88000000</v>
      </c>
    </row>
    <row r="6" spans="2:6" ht="12.75">
      <c r="B6" t="s">
        <v>168</v>
      </c>
      <c r="E6" s="51">
        <v>15000000</v>
      </c>
      <c r="F6" s="20" t="s">
        <v>174</v>
      </c>
    </row>
    <row r="7" spans="2:5" ht="12.75">
      <c r="B7" t="s">
        <v>171</v>
      </c>
      <c r="E7" s="51">
        <v>73000000</v>
      </c>
    </row>
    <row r="8" spans="2:5" ht="12.75">
      <c r="B8" t="s">
        <v>169</v>
      </c>
      <c r="E8" s="51">
        <v>300</v>
      </c>
    </row>
    <row r="9" spans="2:5" ht="12.75">
      <c r="B9" t="s">
        <v>176</v>
      </c>
      <c r="E9" s="51">
        <v>293000</v>
      </c>
    </row>
    <row r="10" spans="2:5" ht="12.75">
      <c r="B10" t="s">
        <v>175</v>
      </c>
      <c r="E10" s="51">
        <v>50000</v>
      </c>
    </row>
    <row r="11" spans="2:6" ht="12.75">
      <c r="B11" t="s">
        <v>179</v>
      </c>
      <c r="E11" s="51">
        <v>243000</v>
      </c>
      <c r="F11" t="s">
        <v>170</v>
      </c>
    </row>
    <row r="12" spans="2:6" ht="12.75">
      <c r="B12" t="s">
        <v>172</v>
      </c>
      <c r="E12" s="51">
        <v>1596</v>
      </c>
      <c r="F12" t="s">
        <v>178</v>
      </c>
    </row>
    <row r="13" spans="2:6" ht="12.75">
      <c r="B13" t="s">
        <v>177</v>
      </c>
      <c r="E13" s="51">
        <v>2608</v>
      </c>
      <c r="F13" t="s">
        <v>178</v>
      </c>
    </row>
    <row r="14" spans="2:6" ht="12.75">
      <c r="B14" t="s">
        <v>180</v>
      </c>
      <c r="E14" s="51">
        <v>2441</v>
      </c>
      <c r="F14" t="s">
        <v>178</v>
      </c>
    </row>
    <row r="16" ht="12.75">
      <c r="B16" t="s">
        <v>181</v>
      </c>
    </row>
    <row r="17" ht="12.75">
      <c r="B17" t="s">
        <v>182</v>
      </c>
    </row>
    <row r="18" ht="12.75">
      <c r="B18" t="s">
        <v>183</v>
      </c>
    </row>
    <row r="19" ht="12.75">
      <c r="B19" t="s">
        <v>184</v>
      </c>
    </row>
    <row r="20" ht="12.75">
      <c r="B20" t="s">
        <v>185</v>
      </c>
    </row>
  </sheetData>
  <mergeCells count="1">
    <mergeCell ref="B1:E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78"/>
  <sheetViews>
    <sheetView showGridLines="0" tabSelected="1" workbookViewId="0" topLeftCell="A11">
      <selection activeCell="B32" sqref="B32"/>
    </sheetView>
  </sheetViews>
  <sheetFormatPr defaultColWidth="10.7109375" defaultRowHeight="12.75"/>
  <cols>
    <col min="1" max="1" width="5.7109375" style="0" customWidth="1"/>
    <col min="2" max="2" width="19.00390625" style="0" customWidth="1"/>
    <col min="3" max="3" width="8.8515625" style="0" customWidth="1"/>
    <col min="4" max="4" width="14.421875" style="53" customWidth="1"/>
    <col min="5" max="5" width="8.28125" style="0" customWidth="1"/>
    <col min="6" max="6" width="9.140625" style="20" customWidth="1"/>
    <col min="7" max="8" width="8.7109375" style="49" bestFit="1" customWidth="1"/>
    <col min="9" max="13" width="8.7109375" style="20" bestFit="1" customWidth="1"/>
    <col min="14" max="15" width="9.00390625" style="20" customWidth="1"/>
    <col min="16" max="25" width="9.57421875" style="20" bestFit="1" customWidth="1"/>
    <col min="26" max="26" width="9.28125" style="20" customWidth="1"/>
    <col min="27" max="27" width="9.421875" style="20" customWidth="1"/>
    <col min="28" max="30" width="9.7109375" style="20" bestFit="1" customWidth="1"/>
    <col min="31" max="31" width="11.57421875" style="0" customWidth="1"/>
    <col min="32" max="32" width="11.28125" style="0" customWidth="1"/>
  </cols>
  <sheetData>
    <row r="1" ht="19.5">
      <c r="A1" s="7" t="s">
        <v>240</v>
      </c>
    </row>
    <row r="2" spans="1:8" ht="19.5">
      <c r="A2" s="7" t="s">
        <v>164</v>
      </c>
      <c r="G2" s="20"/>
      <c r="H2" s="20"/>
    </row>
    <row r="3" spans="4:33" ht="12.75">
      <c r="D3" s="135" t="s">
        <v>9</v>
      </c>
      <c r="E3" s="67" t="s">
        <v>45</v>
      </c>
      <c r="F3" s="94" t="s">
        <v>54</v>
      </c>
      <c r="G3" s="94" t="s">
        <v>55</v>
      </c>
      <c r="H3" s="94" t="s">
        <v>56</v>
      </c>
      <c r="I3" s="94" t="s">
        <v>57</v>
      </c>
      <c r="J3" s="94" t="s">
        <v>58</v>
      </c>
      <c r="K3" s="94" t="s">
        <v>59</v>
      </c>
      <c r="L3" s="94" t="s">
        <v>60</v>
      </c>
      <c r="M3" s="94" t="s">
        <v>61</v>
      </c>
      <c r="N3" s="94" t="s">
        <v>62</v>
      </c>
      <c r="O3" s="94" t="s">
        <v>63</v>
      </c>
      <c r="P3" s="94" t="s">
        <v>64</v>
      </c>
      <c r="Q3" s="94" t="s">
        <v>65</v>
      </c>
      <c r="R3" s="94" t="s">
        <v>66</v>
      </c>
      <c r="S3" s="94" t="s">
        <v>67</v>
      </c>
      <c r="T3" s="94" t="s">
        <v>68</v>
      </c>
      <c r="U3" s="94" t="s">
        <v>69</v>
      </c>
      <c r="V3" s="94" t="s">
        <v>70</v>
      </c>
      <c r="W3" s="94" t="s">
        <v>71</v>
      </c>
      <c r="X3" s="94" t="s">
        <v>72</v>
      </c>
      <c r="Y3" s="94" t="s">
        <v>73</v>
      </c>
      <c r="Z3" s="94" t="s">
        <v>74</v>
      </c>
      <c r="AA3" s="94" t="s">
        <v>75</v>
      </c>
      <c r="AB3" s="94" t="s">
        <v>76</v>
      </c>
      <c r="AC3" s="94" t="s">
        <v>77</v>
      </c>
      <c r="AD3" s="94" t="s">
        <v>78</v>
      </c>
      <c r="AE3" s="68" t="s">
        <v>10</v>
      </c>
      <c r="AF3" s="233" t="s">
        <v>11</v>
      </c>
      <c r="AG3" s="234"/>
    </row>
    <row r="4" spans="5:33" ht="12.75">
      <c r="E4" s="27"/>
      <c r="AF4" s="38"/>
      <c r="AG4" s="20"/>
    </row>
    <row r="5" spans="1:32" ht="12.75">
      <c r="A5" s="9" t="s">
        <v>128</v>
      </c>
      <c r="E5" s="70"/>
      <c r="F5" s="114">
        <v>1</v>
      </c>
      <c r="G5" s="140">
        <f>SUM(F5*1.035)</f>
        <v>1.035</v>
      </c>
      <c r="H5" s="114">
        <f>SUM(G5*1.035)</f>
        <v>1.0712249999999999</v>
      </c>
      <c r="I5" s="114">
        <f>SUM(H5*1.035)</f>
        <v>1.1087178749999997</v>
      </c>
      <c r="J5" s="114">
        <f>SUM(I5*1.035)</f>
        <v>1.1475230006249997</v>
      </c>
      <c r="K5" s="114">
        <f>SUM(J5*1.035)</f>
        <v>1.1876863056468745</v>
      </c>
      <c r="L5" s="114">
        <f aca="true" t="shared" si="0" ref="L5:AD5">SUM(K5*1.035)</f>
        <v>1.229255326344515</v>
      </c>
      <c r="M5" s="114">
        <f t="shared" si="0"/>
        <v>1.2722792627665729</v>
      </c>
      <c r="N5" s="114">
        <f t="shared" si="0"/>
        <v>1.316809036963403</v>
      </c>
      <c r="O5" s="114">
        <f t="shared" si="0"/>
        <v>1.3628973532571218</v>
      </c>
      <c r="P5" s="114">
        <f t="shared" si="0"/>
        <v>1.410598760621121</v>
      </c>
      <c r="Q5" s="114">
        <f t="shared" si="0"/>
        <v>1.45996971724286</v>
      </c>
      <c r="R5" s="114">
        <f t="shared" si="0"/>
        <v>1.51106865734636</v>
      </c>
      <c r="S5" s="114">
        <f t="shared" si="0"/>
        <v>1.5639560603534826</v>
      </c>
      <c r="T5" s="114">
        <f t="shared" si="0"/>
        <v>1.6186945224658542</v>
      </c>
      <c r="U5" s="114">
        <f t="shared" si="0"/>
        <v>1.675348830752159</v>
      </c>
      <c r="V5" s="114">
        <f t="shared" si="0"/>
        <v>1.7339860398284843</v>
      </c>
      <c r="W5" s="114">
        <f t="shared" si="0"/>
        <v>1.7946755512224812</v>
      </c>
      <c r="X5" s="114">
        <f t="shared" si="0"/>
        <v>1.857489195515268</v>
      </c>
      <c r="Y5" s="114">
        <f t="shared" si="0"/>
        <v>1.922501317358302</v>
      </c>
      <c r="Z5" s="114">
        <f t="shared" si="0"/>
        <v>1.9897888634658425</v>
      </c>
      <c r="AA5" s="114">
        <f t="shared" si="0"/>
        <v>2.059431473687147</v>
      </c>
      <c r="AB5" s="114">
        <f t="shared" si="0"/>
        <v>2.1315115752661966</v>
      </c>
      <c r="AC5" s="114">
        <f t="shared" si="0"/>
        <v>2.2061144804005135</v>
      </c>
      <c r="AD5" s="114">
        <f t="shared" si="0"/>
        <v>2.2833284872145314</v>
      </c>
      <c r="AE5" s="60"/>
      <c r="AF5" s="9" t="s">
        <v>128</v>
      </c>
    </row>
    <row r="6" spans="1:32" ht="12.75">
      <c r="A6" t="s">
        <v>186</v>
      </c>
      <c r="C6" s="20" t="s">
        <v>145</v>
      </c>
      <c r="E6" s="70"/>
      <c r="F6" s="95">
        <f>SUM(12*1*300)</f>
        <v>3600</v>
      </c>
      <c r="G6" s="95">
        <f aca="true" t="shared" si="1" ref="G6:G12">SUM(F6*1.04)</f>
        <v>3744</v>
      </c>
      <c r="H6" s="95">
        <f aca="true" t="shared" si="2" ref="H6:AD6">SUM(G6*1.05)</f>
        <v>3931.2000000000003</v>
      </c>
      <c r="I6" s="95">
        <f t="shared" si="2"/>
        <v>4127.76</v>
      </c>
      <c r="J6" s="95">
        <f t="shared" si="2"/>
        <v>4334.148</v>
      </c>
      <c r="K6" s="95">
        <f t="shared" si="2"/>
        <v>4550.8554</v>
      </c>
      <c r="L6" s="95">
        <f t="shared" si="2"/>
        <v>4778.39817</v>
      </c>
      <c r="M6" s="95">
        <f t="shared" si="2"/>
        <v>5017.3180785</v>
      </c>
      <c r="N6" s="95">
        <f t="shared" si="2"/>
        <v>5268.183982425001</v>
      </c>
      <c r="O6" s="95">
        <f t="shared" si="2"/>
        <v>5531.593181546251</v>
      </c>
      <c r="P6" s="95">
        <f t="shared" si="2"/>
        <v>5808.172840623563</v>
      </c>
      <c r="Q6" s="95">
        <f t="shared" si="2"/>
        <v>6098.581482654742</v>
      </c>
      <c r="R6" s="95">
        <f t="shared" si="2"/>
        <v>6403.51055678748</v>
      </c>
      <c r="S6" s="95">
        <f t="shared" si="2"/>
        <v>6723.686084626854</v>
      </c>
      <c r="T6" s="95">
        <f t="shared" si="2"/>
        <v>7059.870388858197</v>
      </c>
      <c r="U6" s="95">
        <f t="shared" si="2"/>
        <v>7412.863908301107</v>
      </c>
      <c r="V6" s="95">
        <f t="shared" si="2"/>
        <v>7783.507103716162</v>
      </c>
      <c r="W6" s="95">
        <f t="shared" si="2"/>
        <v>8172.682458901971</v>
      </c>
      <c r="X6" s="95">
        <f t="shared" si="2"/>
        <v>8581.31658184707</v>
      </c>
      <c r="Y6" s="95">
        <f t="shared" si="2"/>
        <v>9010.382410939425</v>
      </c>
      <c r="Z6" s="95">
        <f t="shared" si="2"/>
        <v>9460.901531486395</v>
      </c>
      <c r="AA6" s="95">
        <f t="shared" si="2"/>
        <v>9933.946608060716</v>
      </c>
      <c r="AB6" s="95">
        <f t="shared" si="2"/>
        <v>10430.643938463752</v>
      </c>
      <c r="AC6" s="95">
        <f t="shared" si="2"/>
        <v>10952.17613538694</v>
      </c>
      <c r="AD6" s="95">
        <f t="shared" si="2"/>
        <v>11499.784942156288</v>
      </c>
      <c r="AE6" s="60"/>
      <c r="AF6" t="s">
        <v>96</v>
      </c>
    </row>
    <row r="7" spans="1:32" ht="12.75">
      <c r="A7" s="115" t="s">
        <v>187</v>
      </c>
      <c r="C7" s="20" t="s">
        <v>190</v>
      </c>
      <c r="D7" s="130"/>
      <c r="E7" s="49"/>
      <c r="F7" s="95">
        <f>SUM(1*12*300)</f>
        <v>3600</v>
      </c>
      <c r="G7" s="95">
        <f t="shared" si="1"/>
        <v>3744</v>
      </c>
      <c r="H7" s="95">
        <f aca="true" t="shared" si="3" ref="H7:AD7">SUM(G7*1.05)</f>
        <v>3931.2000000000003</v>
      </c>
      <c r="I7" s="95">
        <f t="shared" si="3"/>
        <v>4127.76</v>
      </c>
      <c r="J7" s="95">
        <f t="shared" si="3"/>
        <v>4334.148</v>
      </c>
      <c r="K7" s="95">
        <f t="shared" si="3"/>
        <v>4550.8554</v>
      </c>
      <c r="L7" s="95">
        <f t="shared" si="3"/>
        <v>4778.39817</v>
      </c>
      <c r="M7" s="95">
        <f t="shared" si="3"/>
        <v>5017.3180785</v>
      </c>
      <c r="N7" s="95">
        <f t="shared" si="3"/>
        <v>5268.183982425001</v>
      </c>
      <c r="O7" s="95">
        <f t="shared" si="3"/>
        <v>5531.593181546251</v>
      </c>
      <c r="P7" s="95">
        <f t="shared" si="3"/>
        <v>5808.172840623563</v>
      </c>
      <c r="Q7" s="95">
        <f t="shared" si="3"/>
        <v>6098.581482654742</v>
      </c>
      <c r="R7" s="95">
        <f t="shared" si="3"/>
        <v>6403.51055678748</v>
      </c>
      <c r="S7" s="95">
        <f t="shared" si="3"/>
        <v>6723.686084626854</v>
      </c>
      <c r="T7" s="95">
        <f t="shared" si="3"/>
        <v>7059.870388858197</v>
      </c>
      <c r="U7" s="95">
        <f t="shared" si="3"/>
        <v>7412.863908301107</v>
      </c>
      <c r="V7" s="95">
        <f t="shared" si="3"/>
        <v>7783.507103716162</v>
      </c>
      <c r="W7" s="95">
        <f t="shared" si="3"/>
        <v>8172.682458901971</v>
      </c>
      <c r="X7" s="95">
        <f t="shared" si="3"/>
        <v>8581.31658184707</v>
      </c>
      <c r="Y7" s="95">
        <f t="shared" si="3"/>
        <v>9010.382410939425</v>
      </c>
      <c r="Z7" s="95">
        <f t="shared" si="3"/>
        <v>9460.901531486395</v>
      </c>
      <c r="AA7" s="95">
        <f t="shared" si="3"/>
        <v>9933.946608060716</v>
      </c>
      <c r="AB7" s="95">
        <f t="shared" si="3"/>
        <v>10430.643938463752</v>
      </c>
      <c r="AC7" s="95">
        <f t="shared" si="3"/>
        <v>10952.17613538694</v>
      </c>
      <c r="AD7" s="95">
        <f t="shared" si="3"/>
        <v>11499.784942156288</v>
      </c>
      <c r="AE7" s="60"/>
      <c r="AF7" t="s">
        <v>97</v>
      </c>
    </row>
    <row r="8" spans="1:32" ht="12.75">
      <c r="A8" t="s">
        <v>103</v>
      </c>
      <c r="C8" s="20" t="s">
        <v>110</v>
      </c>
      <c r="E8" s="70"/>
      <c r="F8" s="96">
        <f>SUM(5*0.5*300)</f>
        <v>750</v>
      </c>
      <c r="G8" s="95">
        <f t="shared" si="1"/>
        <v>780</v>
      </c>
      <c r="H8" s="95">
        <f aca="true" t="shared" si="4" ref="H8:M8">SUM(G8*1.05)</f>
        <v>819</v>
      </c>
      <c r="I8" s="95">
        <f t="shared" si="4"/>
        <v>859.95</v>
      </c>
      <c r="J8" s="95">
        <f t="shared" si="4"/>
        <v>902.9475000000001</v>
      </c>
      <c r="K8" s="95">
        <f t="shared" si="4"/>
        <v>948.0948750000001</v>
      </c>
      <c r="L8" s="95">
        <f t="shared" si="4"/>
        <v>995.4996187500002</v>
      </c>
      <c r="M8" s="95">
        <f t="shared" si="4"/>
        <v>1045.2745996875003</v>
      </c>
      <c r="N8" s="97">
        <f aca="true" t="shared" si="5" ref="N8:AD8">SUM(M8*1.05)</f>
        <v>1097.5383296718753</v>
      </c>
      <c r="O8" s="97">
        <f t="shared" si="5"/>
        <v>1152.415246155469</v>
      </c>
      <c r="P8" s="97">
        <f t="shared" si="5"/>
        <v>1210.0360084632425</v>
      </c>
      <c r="Q8" s="97">
        <f t="shared" si="5"/>
        <v>1270.5378088864047</v>
      </c>
      <c r="R8" s="97">
        <f t="shared" si="5"/>
        <v>1334.064699330725</v>
      </c>
      <c r="S8" s="97">
        <f t="shared" si="5"/>
        <v>1400.7679342972613</v>
      </c>
      <c r="T8" s="97">
        <f t="shared" si="5"/>
        <v>1470.8063310121245</v>
      </c>
      <c r="U8" s="97">
        <f t="shared" si="5"/>
        <v>1544.3466475627308</v>
      </c>
      <c r="V8" s="97">
        <f t="shared" si="5"/>
        <v>1621.5639799408675</v>
      </c>
      <c r="W8" s="97">
        <f t="shared" si="5"/>
        <v>1702.642178937911</v>
      </c>
      <c r="X8" s="97">
        <f t="shared" si="5"/>
        <v>1787.7742878848067</v>
      </c>
      <c r="Y8" s="97">
        <f t="shared" si="5"/>
        <v>1877.163002279047</v>
      </c>
      <c r="Z8" s="97">
        <f t="shared" si="5"/>
        <v>1971.0211523929995</v>
      </c>
      <c r="AA8" s="97">
        <f t="shared" si="5"/>
        <v>2069.5722100126495</v>
      </c>
      <c r="AB8" s="97">
        <f t="shared" si="5"/>
        <v>2173.050820513282</v>
      </c>
      <c r="AC8" s="97">
        <f t="shared" si="5"/>
        <v>2281.703361538946</v>
      </c>
      <c r="AD8" s="97">
        <f t="shared" si="5"/>
        <v>2395.7885296158934</v>
      </c>
      <c r="AE8" s="60"/>
      <c r="AF8" t="s">
        <v>95</v>
      </c>
    </row>
    <row r="9" spans="1:32" ht="12.75">
      <c r="A9" t="s">
        <v>162</v>
      </c>
      <c r="C9" s="20" t="s">
        <v>111</v>
      </c>
      <c r="D9" s="136"/>
      <c r="E9" s="71"/>
      <c r="F9" s="95">
        <f>SUM(3*2*100)</f>
        <v>600</v>
      </c>
      <c r="G9" s="95">
        <f t="shared" si="1"/>
        <v>624</v>
      </c>
      <c r="H9" s="95">
        <f aca="true" t="shared" si="6" ref="H9:L10">SUM(G9*1.05)</f>
        <v>655.2</v>
      </c>
      <c r="I9" s="95">
        <f t="shared" si="6"/>
        <v>687.96</v>
      </c>
      <c r="J9" s="95">
        <f t="shared" si="6"/>
        <v>722.3580000000001</v>
      </c>
      <c r="K9" s="95">
        <f t="shared" si="6"/>
        <v>758.4759000000001</v>
      </c>
      <c r="L9" s="79">
        <f t="shared" si="6"/>
        <v>796.3996950000002</v>
      </c>
      <c r="M9" s="79">
        <f aca="true" t="shared" si="7" ref="M9:AD9">SUM(L9*1.05)</f>
        <v>836.2196797500002</v>
      </c>
      <c r="N9" s="79">
        <f t="shared" si="7"/>
        <v>878.0306637375003</v>
      </c>
      <c r="O9" s="79">
        <f t="shared" si="7"/>
        <v>921.9321969243754</v>
      </c>
      <c r="P9" s="79">
        <f t="shared" si="7"/>
        <v>968.0288067705942</v>
      </c>
      <c r="Q9" s="79">
        <f t="shared" si="7"/>
        <v>1016.4302471091239</v>
      </c>
      <c r="R9" s="79">
        <f t="shared" si="7"/>
        <v>1067.2517594645801</v>
      </c>
      <c r="S9" s="79">
        <f t="shared" si="7"/>
        <v>1120.614347437809</v>
      </c>
      <c r="T9" s="79">
        <f t="shared" si="7"/>
        <v>1176.6450648096995</v>
      </c>
      <c r="U9" s="79">
        <f t="shared" si="7"/>
        <v>1235.4773180501845</v>
      </c>
      <c r="V9" s="79">
        <f t="shared" si="7"/>
        <v>1297.2511839526937</v>
      </c>
      <c r="W9" s="79">
        <f t="shared" si="7"/>
        <v>1362.1137431503284</v>
      </c>
      <c r="X9" s="79">
        <f t="shared" si="7"/>
        <v>1430.219430307845</v>
      </c>
      <c r="Y9" s="79">
        <f t="shared" si="7"/>
        <v>1501.7304018232373</v>
      </c>
      <c r="Z9" s="79">
        <f t="shared" si="7"/>
        <v>1576.8169219143992</v>
      </c>
      <c r="AA9" s="79">
        <f t="shared" si="7"/>
        <v>1655.6577680101193</v>
      </c>
      <c r="AB9" s="79">
        <f t="shared" si="7"/>
        <v>1738.4406564106253</v>
      </c>
      <c r="AC9" s="79">
        <f t="shared" si="7"/>
        <v>1825.3626892311565</v>
      </c>
      <c r="AD9" s="79">
        <f t="shared" si="7"/>
        <v>1916.6308236927146</v>
      </c>
      <c r="AE9" s="59"/>
      <c r="AF9" t="s">
        <v>99</v>
      </c>
    </row>
    <row r="10" spans="1:32" ht="12.75">
      <c r="A10" s="30" t="s">
        <v>188</v>
      </c>
      <c r="C10" s="20" t="s">
        <v>112</v>
      </c>
      <c r="D10" s="84"/>
      <c r="F10" s="97">
        <f>SUM(2*5*100)</f>
        <v>1000</v>
      </c>
      <c r="G10" s="95">
        <f t="shared" si="1"/>
        <v>1040</v>
      </c>
      <c r="H10" s="95">
        <f t="shared" si="6"/>
        <v>1092</v>
      </c>
      <c r="I10" s="95">
        <f t="shared" si="6"/>
        <v>1146.6000000000001</v>
      </c>
      <c r="J10" s="95">
        <f t="shared" si="6"/>
        <v>1203.9300000000003</v>
      </c>
      <c r="K10" s="95">
        <f t="shared" si="6"/>
        <v>1264.1265000000003</v>
      </c>
      <c r="L10" s="95">
        <f t="shared" si="6"/>
        <v>1327.3328250000004</v>
      </c>
      <c r="M10" s="95">
        <f aca="true" t="shared" si="8" ref="M10:T10">SUM(L10*1.05)</f>
        <v>1393.6994662500006</v>
      </c>
      <c r="N10" s="95">
        <f t="shared" si="8"/>
        <v>1463.3844395625006</v>
      </c>
      <c r="O10" s="95">
        <f t="shared" si="8"/>
        <v>1536.5536615406256</v>
      </c>
      <c r="P10" s="95">
        <f t="shared" si="8"/>
        <v>1613.381344617657</v>
      </c>
      <c r="Q10" s="95">
        <f t="shared" si="8"/>
        <v>1694.05041184854</v>
      </c>
      <c r="R10" s="95">
        <f t="shared" si="8"/>
        <v>1778.7529324409672</v>
      </c>
      <c r="S10" s="95">
        <f t="shared" si="8"/>
        <v>1867.6905790630158</v>
      </c>
      <c r="T10" s="95">
        <f t="shared" si="8"/>
        <v>1961.0751080161667</v>
      </c>
      <c r="U10" s="95">
        <f aca="true" t="shared" si="9" ref="U10:AD10">SUM(T10*1.05)</f>
        <v>2059.128863416975</v>
      </c>
      <c r="V10" s="95">
        <f t="shared" si="9"/>
        <v>2162.085306587824</v>
      </c>
      <c r="W10" s="95">
        <f t="shared" si="9"/>
        <v>2270.1895719172153</v>
      </c>
      <c r="X10" s="95">
        <f t="shared" si="9"/>
        <v>2383.699050513076</v>
      </c>
      <c r="Y10" s="95">
        <f t="shared" si="9"/>
        <v>2502.88400303873</v>
      </c>
      <c r="Z10" s="95">
        <f t="shared" si="9"/>
        <v>2628.0282031906668</v>
      </c>
      <c r="AA10" s="95">
        <f t="shared" si="9"/>
        <v>2759.4296133502003</v>
      </c>
      <c r="AB10" s="95">
        <f t="shared" si="9"/>
        <v>2897.4010940177104</v>
      </c>
      <c r="AC10" s="95">
        <f t="shared" si="9"/>
        <v>3042.271148718596</v>
      </c>
      <c r="AD10" s="95">
        <f t="shared" si="9"/>
        <v>3194.384706154526</v>
      </c>
      <c r="AF10" t="s">
        <v>98</v>
      </c>
    </row>
    <row r="11" spans="1:32" ht="12.75">
      <c r="A11" t="s">
        <v>47</v>
      </c>
      <c r="C11" s="235" t="s">
        <v>113</v>
      </c>
      <c r="D11" s="231"/>
      <c r="E11" s="231"/>
      <c r="F11" s="95">
        <f>SUM(1*3*300)</f>
        <v>900</v>
      </c>
      <c r="G11" s="57">
        <f t="shared" si="1"/>
        <v>936</v>
      </c>
      <c r="H11" s="57">
        <f aca="true" t="shared" si="10" ref="H11:AD11">SUM(G11*1.06)</f>
        <v>992.1600000000001</v>
      </c>
      <c r="I11" s="57">
        <f t="shared" si="10"/>
        <v>1051.6896000000002</v>
      </c>
      <c r="J11" s="57">
        <f t="shared" si="10"/>
        <v>1114.7909760000002</v>
      </c>
      <c r="K11" s="57">
        <f t="shared" si="10"/>
        <v>1181.6784345600004</v>
      </c>
      <c r="L11" s="57">
        <f t="shared" si="10"/>
        <v>1252.5791406336004</v>
      </c>
      <c r="M11" s="57">
        <f t="shared" si="10"/>
        <v>1327.7338890716164</v>
      </c>
      <c r="N11" s="57">
        <f t="shared" si="10"/>
        <v>1407.3979224159134</v>
      </c>
      <c r="O11" s="57">
        <f t="shared" si="10"/>
        <v>1491.8417977608683</v>
      </c>
      <c r="P11" s="57">
        <f t="shared" si="10"/>
        <v>1581.3523056265205</v>
      </c>
      <c r="Q11" s="57">
        <f t="shared" si="10"/>
        <v>1676.2334439641118</v>
      </c>
      <c r="R11" s="57">
        <f t="shared" si="10"/>
        <v>1776.8074506019586</v>
      </c>
      <c r="S11" s="57">
        <f t="shared" si="10"/>
        <v>1883.4158976380763</v>
      </c>
      <c r="T11" s="57">
        <f t="shared" si="10"/>
        <v>1996.420851496361</v>
      </c>
      <c r="U11" s="57">
        <f t="shared" si="10"/>
        <v>2116.2061025861426</v>
      </c>
      <c r="V11" s="57">
        <f t="shared" si="10"/>
        <v>2243.1784687413115</v>
      </c>
      <c r="W11" s="57">
        <f t="shared" si="10"/>
        <v>2377.76917686579</v>
      </c>
      <c r="X11" s="57">
        <f t="shared" si="10"/>
        <v>2520.4353274777377</v>
      </c>
      <c r="Y11" s="57">
        <f t="shared" si="10"/>
        <v>2671.661447126402</v>
      </c>
      <c r="Z11" s="57">
        <f t="shared" si="10"/>
        <v>2831.961133953986</v>
      </c>
      <c r="AA11" s="57">
        <f t="shared" si="10"/>
        <v>3001.8788019912254</v>
      </c>
      <c r="AB11" s="57">
        <f t="shared" si="10"/>
        <v>3181.991530110699</v>
      </c>
      <c r="AC11" s="57">
        <f t="shared" si="10"/>
        <v>3372.9110219173413</v>
      </c>
      <c r="AD11" s="57">
        <f t="shared" si="10"/>
        <v>3575.285683232382</v>
      </c>
      <c r="AE11" s="59"/>
      <c r="AF11" t="s">
        <v>47</v>
      </c>
    </row>
    <row r="12" spans="1:32" ht="12.75">
      <c r="A12" t="s">
        <v>100</v>
      </c>
      <c r="C12" s="116" t="s">
        <v>123</v>
      </c>
      <c r="D12" s="135"/>
      <c r="E12" s="73"/>
      <c r="F12" s="95">
        <f>SUM(2*3*300)</f>
        <v>1800</v>
      </c>
      <c r="G12" s="95">
        <f t="shared" si="1"/>
        <v>1872</v>
      </c>
      <c r="H12" s="95">
        <f aca="true" t="shared" si="11" ref="H12:AD12">SUM(G12*1.05)</f>
        <v>1965.6000000000001</v>
      </c>
      <c r="I12" s="95">
        <f t="shared" si="11"/>
        <v>2063.88</v>
      </c>
      <c r="J12" s="95">
        <f t="shared" si="11"/>
        <v>2167.074</v>
      </c>
      <c r="K12" s="95">
        <f t="shared" si="11"/>
        <v>2275.4277</v>
      </c>
      <c r="L12" s="95">
        <f t="shared" si="11"/>
        <v>2389.199085</v>
      </c>
      <c r="M12" s="95">
        <f t="shared" si="11"/>
        <v>2508.65903925</v>
      </c>
      <c r="N12" s="95">
        <f t="shared" si="11"/>
        <v>2634.0919912125005</v>
      </c>
      <c r="O12" s="95">
        <f t="shared" si="11"/>
        <v>2765.7965907731254</v>
      </c>
      <c r="P12" s="95">
        <f t="shared" si="11"/>
        <v>2904.0864203117817</v>
      </c>
      <c r="Q12" s="95">
        <f t="shared" si="11"/>
        <v>3049.290741327371</v>
      </c>
      <c r="R12" s="95">
        <f t="shared" si="11"/>
        <v>3201.75527839374</v>
      </c>
      <c r="S12" s="95">
        <f t="shared" si="11"/>
        <v>3361.843042313427</v>
      </c>
      <c r="T12" s="95">
        <f t="shared" si="11"/>
        <v>3529.9351944290984</v>
      </c>
      <c r="U12" s="95">
        <f t="shared" si="11"/>
        <v>3706.4319541505533</v>
      </c>
      <c r="V12" s="95">
        <f t="shared" si="11"/>
        <v>3891.753551858081</v>
      </c>
      <c r="W12" s="95">
        <f t="shared" si="11"/>
        <v>4086.3412294509853</v>
      </c>
      <c r="X12" s="95">
        <f t="shared" si="11"/>
        <v>4290.658290923535</v>
      </c>
      <c r="Y12" s="95">
        <f t="shared" si="11"/>
        <v>4505.191205469712</v>
      </c>
      <c r="Z12" s="95">
        <f t="shared" si="11"/>
        <v>4730.450765743198</v>
      </c>
      <c r="AA12" s="95">
        <f t="shared" si="11"/>
        <v>4966.973304030358</v>
      </c>
      <c r="AB12" s="95">
        <f t="shared" si="11"/>
        <v>5215.321969231876</v>
      </c>
      <c r="AC12" s="95">
        <f t="shared" si="11"/>
        <v>5476.08806769347</v>
      </c>
      <c r="AD12" s="95">
        <f t="shared" si="11"/>
        <v>5749.892471078144</v>
      </c>
      <c r="AE12" s="61"/>
      <c r="AF12" t="s">
        <v>100</v>
      </c>
    </row>
    <row r="13" spans="1:31" ht="12.75">
      <c r="A13" t="s">
        <v>189</v>
      </c>
      <c r="C13" s="116" t="s">
        <v>124</v>
      </c>
      <c r="D13" s="135"/>
      <c r="E13" s="73"/>
      <c r="F13" s="95">
        <f>SUM(1.5*3*300/3)</f>
        <v>450</v>
      </c>
      <c r="G13" s="95">
        <f>SUM(F13*1.04)</f>
        <v>468</v>
      </c>
      <c r="H13" s="95">
        <f aca="true" t="shared" si="12" ref="H13:AD13">SUM(G13*1.04)</f>
        <v>486.72</v>
      </c>
      <c r="I13" s="95">
        <f t="shared" si="12"/>
        <v>506.18880000000007</v>
      </c>
      <c r="J13" s="95">
        <f t="shared" si="12"/>
        <v>526.436352</v>
      </c>
      <c r="K13" s="95">
        <f t="shared" si="12"/>
        <v>547.4938060800001</v>
      </c>
      <c r="L13" s="95">
        <f t="shared" si="12"/>
        <v>569.3935583232002</v>
      </c>
      <c r="M13" s="95">
        <f t="shared" si="12"/>
        <v>592.1693006561283</v>
      </c>
      <c r="N13" s="95">
        <f t="shared" si="12"/>
        <v>615.8560726823735</v>
      </c>
      <c r="O13" s="95">
        <f t="shared" si="12"/>
        <v>640.4903155896684</v>
      </c>
      <c r="P13" s="95">
        <f t="shared" si="12"/>
        <v>666.1099282132551</v>
      </c>
      <c r="Q13" s="95">
        <f t="shared" si="12"/>
        <v>692.7543253417854</v>
      </c>
      <c r="R13" s="95">
        <f t="shared" si="12"/>
        <v>720.4644983554568</v>
      </c>
      <c r="S13" s="95">
        <f t="shared" si="12"/>
        <v>749.2830782896751</v>
      </c>
      <c r="T13" s="95">
        <f t="shared" si="12"/>
        <v>779.2544014212622</v>
      </c>
      <c r="U13" s="95">
        <f>SUM(T13*1.04)</f>
        <v>810.4245774781127</v>
      </c>
      <c r="V13" s="95">
        <f t="shared" si="12"/>
        <v>842.8415605772373</v>
      </c>
      <c r="W13" s="95">
        <f t="shared" si="12"/>
        <v>876.5552230003268</v>
      </c>
      <c r="X13" s="95">
        <f t="shared" si="12"/>
        <v>911.6174319203399</v>
      </c>
      <c r="Y13" s="95">
        <f t="shared" si="12"/>
        <v>948.0821291971534</v>
      </c>
      <c r="Z13" s="95">
        <f t="shared" si="12"/>
        <v>986.0054143650397</v>
      </c>
      <c r="AA13" s="95">
        <f t="shared" si="12"/>
        <v>1025.4456309396412</v>
      </c>
      <c r="AB13" s="95">
        <f t="shared" si="12"/>
        <v>1066.4634561772268</v>
      </c>
      <c r="AC13" s="95">
        <f t="shared" si="12"/>
        <v>1109.121994424316</v>
      </c>
      <c r="AD13" s="95">
        <f t="shared" si="12"/>
        <v>1153.4868742012886</v>
      </c>
      <c r="AE13" s="61"/>
    </row>
    <row r="14" spans="1:32" ht="12.75">
      <c r="A14" t="s">
        <v>163</v>
      </c>
      <c r="D14" s="135"/>
      <c r="E14" s="72"/>
      <c r="F14" s="95">
        <v>300</v>
      </c>
      <c r="G14" s="57">
        <f>SUM(F14*1.05)</f>
        <v>315</v>
      </c>
      <c r="H14" s="57">
        <f aca="true" t="shared" si="13" ref="H14:AD14">SUM(G14*1.05)</f>
        <v>330.75</v>
      </c>
      <c r="I14" s="57">
        <f t="shared" si="13"/>
        <v>347.2875</v>
      </c>
      <c r="J14" s="57">
        <f t="shared" si="13"/>
        <v>364.651875</v>
      </c>
      <c r="K14" s="57">
        <f t="shared" si="13"/>
        <v>382.88446875000005</v>
      </c>
      <c r="L14" s="57">
        <f t="shared" si="13"/>
        <v>402.0286921875001</v>
      </c>
      <c r="M14" s="57">
        <f t="shared" si="13"/>
        <v>422.1301267968751</v>
      </c>
      <c r="N14" s="57">
        <f t="shared" si="13"/>
        <v>443.23663313671886</v>
      </c>
      <c r="O14" s="57">
        <f t="shared" si="13"/>
        <v>465.3984647935548</v>
      </c>
      <c r="P14" s="57">
        <f t="shared" si="13"/>
        <v>488.6683880332326</v>
      </c>
      <c r="Q14" s="57">
        <f t="shared" si="13"/>
        <v>513.1018074348942</v>
      </c>
      <c r="R14" s="57">
        <f t="shared" si="13"/>
        <v>538.756897806639</v>
      </c>
      <c r="S14" s="57">
        <f t="shared" si="13"/>
        <v>565.694742696971</v>
      </c>
      <c r="T14" s="57">
        <f t="shared" si="13"/>
        <v>593.9794798318196</v>
      </c>
      <c r="U14" s="57">
        <f t="shared" si="13"/>
        <v>623.6784538234107</v>
      </c>
      <c r="V14" s="57">
        <f t="shared" si="13"/>
        <v>654.8623765145812</v>
      </c>
      <c r="W14" s="57">
        <f t="shared" si="13"/>
        <v>687.6054953403103</v>
      </c>
      <c r="X14" s="57">
        <f t="shared" si="13"/>
        <v>721.9857701073258</v>
      </c>
      <c r="Y14" s="57">
        <f t="shared" si="13"/>
        <v>758.0850586126921</v>
      </c>
      <c r="Z14" s="57">
        <f t="shared" si="13"/>
        <v>795.9893115433267</v>
      </c>
      <c r="AA14" s="57">
        <f t="shared" si="13"/>
        <v>835.7887771204931</v>
      </c>
      <c r="AB14" s="57">
        <f t="shared" si="13"/>
        <v>877.5782159765179</v>
      </c>
      <c r="AC14" s="57">
        <f t="shared" si="13"/>
        <v>921.4571267753438</v>
      </c>
      <c r="AD14" s="57">
        <f t="shared" si="13"/>
        <v>967.529983114111</v>
      </c>
      <c r="AE14" s="62"/>
      <c r="AF14" t="s">
        <v>44</v>
      </c>
    </row>
    <row r="15" spans="1:32" ht="12.75">
      <c r="A15" t="s">
        <v>107</v>
      </c>
      <c r="C15" s="116" t="s">
        <v>114</v>
      </c>
      <c r="D15" s="135"/>
      <c r="E15" s="72"/>
      <c r="F15" s="95">
        <f>SUM(0.5*1*300)</f>
        <v>150</v>
      </c>
      <c r="G15" s="57">
        <f>SUM(F15*1.05)</f>
        <v>157.5</v>
      </c>
      <c r="H15" s="57">
        <f aca="true" t="shared" si="14" ref="H15:AD15">SUM(G15*1.05)</f>
        <v>165.375</v>
      </c>
      <c r="I15" s="57">
        <f t="shared" si="14"/>
        <v>173.64375</v>
      </c>
      <c r="J15" s="57">
        <f t="shared" si="14"/>
        <v>182.3259375</v>
      </c>
      <c r="K15" s="57">
        <f t="shared" si="14"/>
        <v>191.44223437500003</v>
      </c>
      <c r="L15" s="57">
        <f t="shared" si="14"/>
        <v>201.01434609375005</v>
      </c>
      <c r="M15" s="57">
        <f t="shared" si="14"/>
        <v>211.06506339843756</v>
      </c>
      <c r="N15" s="57">
        <f t="shared" si="14"/>
        <v>221.61831656835943</v>
      </c>
      <c r="O15" s="57">
        <f t="shared" si="14"/>
        <v>232.6992323967774</v>
      </c>
      <c r="P15" s="57">
        <f t="shared" si="14"/>
        <v>244.3341940166163</v>
      </c>
      <c r="Q15" s="57">
        <f t="shared" si="14"/>
        <v>256.5509037174471</v>
      </c>
      <c r="R15" s="57">
        <f t="shared" si="14"/>
        <v>269.3784489033195</v>
      </c>
      <c r="S15" s="57">
        <f t="shared" si="14"/>
        <v>282.8473713484855</v>
      </c>
      <c r="T15" s="57">
        <f t="shared" si="14"/>
        <v>296.9897399159098</v>
      </c>
      <c r="U15" s="57">
        <f t="shared" si="14"/>
        <v>311.83922691170534</v>
      </c>
      <c r="V15" s="57">
        <f t="shared" si="14"/>
        <v>327.4311882572906</v>
      </c>
      <c r="W15" s="57">
        <f t="shared" si="14"/>
        <v>343.80274767015516</v>
      </c>
      <c r="X15" s="57">
        <f t="shared" si="14"/>
        <v>360.9928850536629</v>
      </c>
      <c r="Y15" s="57">
        <f t="shared" si="14"/>
        <v>379.04252930634607</v>
      </c>
      <c r="Z15" s="57">
        <f t="shared" si="14"/>
        <v>397.99465577166336</v>
      </c>
      <c r="AA15" s="57">
        <f t="shared" si="14"/>
        <v>417.89438856024657</v>
      </c>
      <c r="AB15" s="57">
        <f t="shared" si="14"/>
        <v>438.78910798825893</v>
      </c>
      <c r="AC15" s="57">
        <f t="shared" si="14"/>
        <v>460.7285633876719</v>
      </c>
      <c r="AD15" s="57">
        <f t="shared" si="14"/>
        <v>483.7649915570555</v>
      </c>
      <c r="AE15" s="62"/>
      <c r="AF15" t="s">
        <v>51</v>
      </c>
    </row>
    <row r="16" spans="1:32" ht="12.75">
      <c r="A16" t="s">
        <v>125</v>
      </c>
      <c r="D16" s="135"/>
      <c r="E16" s="72"/>
      <c r="F16" s="95">
        <f>SUM(F6:F15)</f>
        <v>13150</v>
      </c>
      <c r="G16" s="95">
        <f aca="true" t="shared" si="15" ref="G16:AD16">SUM(G6:G15)</f>
        <v>13680.5</v>
      </c>
      <c r="H16" s="95">
        <f t="shared" si="15"/>
        <v>14369.205000000002</v>
      </c>
      <c r="I16" s="95">
        <f t="shared" si="15"/>
        <v>15092.719650000001</v>
      </c>
      <c r="J16" s="95">
        <f t="shared" si="15"/>
        <v>15852.810640500002</v>
      </c>
      <c r="K16" s="95">
        <f t="shared" si="15"/>
        <v>16651.334718765003</v>
      </c>
      <c r="L16" s="95">
        <f t="shared" si="15"/>
        <v>17490.243300988055</v>
      </c>
      <c r="M16" s="95">
        <f t="shared" si="15"/>
        <v>18371.587321860556</v>
      </c>
      <c r="N16" s="95">
        <f t="shared" si="15"/>
        <v>19297.522333837744</v>
      </c>
      <c r="O16" s="95">
        <f t="shared" si="15"/>
        <v>20270.313869026966</v>
      </c>
      <c r="P16" s="95">
        <f t="shared" si="15"/>
        <v>21292.34307730003</v>
      </c>
      <c r="Q16" s="95">
        <f t="shared" si="15"/>
        <v>22366.112654939167</v>
      </c>
      <c r="R16" s="95">
        <f t="shared" si="15"/>
        <v>23494.253078872345</v>
      </c>
      <c r="S16" s="95">
        <f t="shared" si="15"/>
        <v>24679.529162338426</v>
      </c>
      <c r="T16" s="95">
        <f t="shared" si="15"/>
        <v>25924.846948648832</v>
      </c>
      <c r="U16" s="95">
        <f t="shared" si="15"/>
        <v>27233.26096058203</v>
      </c>
      <c r="V16" s="95">
        <f t="shared" si="15"/>
        <v>28607.981823862217</v>
      </c>
      <c r="W16" s="95">
        <f t="shared" si="15"/>
        <v>30052.384284136962</v>
      </c>
      <c r="X16" s="95">
        <f t="shared" si="15"/>
        <v>31570.01563788247</v>
      </c>
      <c r="Y16" s="95">
        <f t="shared" si="15"/>
        <v>33164.60459873217</v>
      </c>
      <c r="Z16" s="95">
        <f t="shared" si="15"/>
        <v>34840.07062184808</v>
      </c>
      <c r="AA16" s="95">
        <f t="shared" si="15"/>
        <v>36600.53371013637</v>
      </c>
      <c r="AB16" s="95">
        <f t="shared" si="15"/>
        <v>38450.3247273537</v>
      </c>
      <c r="AC16" s="95">
        <f t="shared" si="15"/>
        <v>40393.996244460715</v>
      </c>
      <c r="AD16" s="95">
        <f t="shared" si="15"/>
        <v>42436.33394695869</v>
      </c>
      <c r="AE16" s="59"/>
      <c r="AF16" t="s">
        <v>49</v>
      </c>
    </row>
    <row r="17" spans="1:32" ht="12.75">
      <c r="A17" s="231" t="s">
        <v>126</v>
      </c>
      <c r="B17" s="231"/>
      <c r="C17" s="231"/>
      <c r="D17" s="231"/>
      <c r="E17" s="231"/>
      <c r="F17" s="98">
        <f>SUM(F16*0.05)</f>
        <v>657.5</v>
      </c>
      <c r="G17" s="98">
        <f aca="true" t="shared" si="16" ref="G17:AD17">SUM(G16*0.05)</f>
        <v>684.0250000000001</v>
      </c>
      <c r="H17" s="98">
        <f t="shared" si="16"/>
        <v>718.4602500000001</v>
      </c>
      <c r="I17" s="98">
        <f t="shared" si="16"/>
        <v>754.6359825000001</v>
      </c>
      <c r="J17" s="98">
        <f t="shared" si="16"/>
        <v>792.6405320250001</v>
      </c>
      <c r="K17" s="98">
        <f t="shared" si="16"/>
        <v>832.5667359382502</v>
      </c>
      <c r="L17" s="98">
        <f t="shared" si="16"/>
        <v>874.5121650494028</v>
      </c>
      <c r="M17" s="98">
        <f t="shared" si="16"/>
        <v>918.5793660930278</v>
      </c>
      <c r="N17" s="98">
        <f t="shared" si="16"/>
        <v>964.8761166918872</v>
      </c>
      <c r="O17" s="98">
        <f t="shared" si="16"/>
        <v>1013.5156934513484</v>
      </c>
      <c r="P17" s="98">
        <f t="shared" si="16"/>
        <v>1064.6171538650015</v>
      </c>
      <c r="Q17" s="98">
        <f t="shared" si="16"/>
        <v>1118.3056327469583</v>
      </c>
      <c r="R17" s="98">
        <f t="shared" si="16"/>
        <v>1174.7126539436174</v>
      </c>
      <c r="S17" s="98">
        <f t="shared" si="16"/>
        <v>1233.9764581169213</v>
      </c>
      <c r="T17" s="98">
        <f t="shared" si="16"/>
        <v>1296.2423474324416</v>
      </c>
      <c r="U17" s="98">
        <f t="shared" si="16"/>
        <v>1361.6630480291014</v>
      </c>
      <c r="V17" s="98">
        <f t="shared" si="16"/>
        <v>1430.399091193111</v>
      </c>
      <c r="W17" s="98">
        <f t="shared" si="16"/>
        <v>1502.6192142068483</v>
      </c>
      <c r="X17" s="98">
        <f t="shared" si="16"/>
        <v>1578.5007818941235</v>
      </c>
      <c r="Y17" s="98">
        <f t="shared" si="16"/>
        <v>1658.2302299366086</v>
      </c>
      <c r="Z17" s="98">
        <f t="shared" si="16"/>
        <v>1742.003531092404</v>
      </c>
      <c r="AA17" s="98">
        <f t="shared" si="16"/>
        <v>1830.0266855068185</v>
      </c>
      <c r="AB17" s="98">
        <f t="shared" si="16"/>
        <v>1922.516236367685</v>
      </c>
      <c r="AC17" s="98">
        <f t="shared" si="16"/>
        <v>2019.699812223036</v>
      </c>
      <c r="AD17" s="98">
        <f t="shared" si="16"/>
        <v>2121.8166973479347</v>
      </c>
      <c r="AE17" s="63"/>
      <c r="AF17" t="s">
        <v>50</v>
      </c>
    </row>
    <row r="18" spans="1:32" ht="12.75">
      <c r="A18" t="s">
        <v>106</v>
      </c>
      <c r="D18" s="135"/>
      <c r="E18" s="72"/>
      <c r="F18" s="119">
        <f>SUM(F16:F17)</f>
        <v>13807.5</v>
      </c>
      <c r="G18" s="119">
        <f aca="true" t="shared" si="17" ref="G18:L18">SUM(G16:G17)</f>
        <v>14364.525</v>
      </c>
      <c r="H18" s="119">
        <f t="shared" si="17"/>
        <v>15087.665250000002</v>
      </c>
      <c r="I18" s="119">
        <f t="shared" si="17"/>
        <v>15847.3556325</v>
      </c>
      <c r="J18" s="119">
        <f t="shared" si="17"/>
        <v>16645.451172525</v>
      </c>
      <c r="K18" s="119">
        <f t="shared" si="17"/>
        <v>17483.901454703253</v>
      </c>
      <c r="L18" s="119">
        <f t="shared" si="17"/>
        <v>18364.75546603746</v>
      </c>
      <c r="M18" s="119">
        <f aca="true" t="shared" si="18" ref="M18:AD18">SUM(M16:M17)</f>
        <v>19290.166687953584</v>
      </c>
      <c r="N18" s="119">
        <f t="shared" si="18"/>
        <v>20262.398450529632</v>
      </c>
      <c r="O18" s="119">
        <f t="shared" si="18"/>
        <v>21283.829562478313</v>
      </c>
      <c r="P18" s="119">
        <f t="shared" si="18"/>
        <v>22356.96023116503</v>
      </c>
      <c r="Q18" s="119">
        <f t="shared" si="18"/>
        <v>23484.418287686123</v>
      </c>
      <c r="R18" s="119">
        <f t="shared" si="18"/>
        <v>24668.965732815963</v>
      </c>
      <c r="S18" s="119">
        <f t="shared" si="18"/>
        <v>25913.505620455348</v>
      </c>
      <c r="T18" s="119">
        <f t="shared" si="18"/>
        <v>27221.089296081274</v>
      </c>
      <c r="U18" s="119">
        <f t="shared" si="18"/>
        <v>28594.92400861113</v>
      </c>
      <c r="V18" s="119">
        <f t="shared" si="18"/>
        <v>30038.380915055328</v>
      </c>
      <c r="W18" s="119">
        <f t="shared" si="18"/>
        <v>31555.00349834381</v>
      </c>
      <c r="X18" s="119">
        <f t="shared" si="18"/>
        <v>33148.51641977659</v>
      </c>
      <c r="Y18" s="119">
        <f t="shared" si="18"/>
        <v>34822.834828668776</v>
      </c>
      <c r="Z18" s="119">
        <f t="shared" si="18"/>
        <v>36582.074152940484</v>
      </c>
      <c r="AA18" s="119">
        <f t="shared" si="18"/>
        <v>38430.56039564319</v>
      </c>
      <c r="AB18" s="119">
        <f t="shared" si="18"/>
        <v>40372.840963721384</v>
      </c>
      <c r="AC18" s="119">
        <f t="shared" si="18"/>
        <v>42413.69605668375</v>
      </c>
      <c r="AD18" s="119">
        <f t="shared" si="18"/>
        <v>44558.15064430663</v>
      </c>
      <c r="AE18" s="63">
        <f>SUM(F18:AD18)</f>
        <v>656599.4697286822</v>
      </c>
      <c r="AF18" t="s">
        <v>127</v>
      </c>
    </row>
    <row r="19" spans="1:33" s="37" customFormat="1" ht="12.75">
      <c r="A19" s="30"/>
      <c r="B19" s="31"/>
      <c r="D19" s="13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64"/>
      <c r="AF19" s="33"/>
      <c r="AG19" s="20"/>
    </row>
    <row r="20" spans="1:33" ht="12.75">
      <c r="A20" s="9" t="s">
        <v>12</v>
      </c>
      <c r="E20" s="74"/>
      <c r="F20" s="57"/>
      <c r="G20" s="57"/>
      <c r="H20" s="58"/>
      <c r="I20" s="66"/>
      <c r="J20" s="79"/>
      <c r="K20" s="79"/>
      <c r="L20" s="79"/>
      <c r="M20" s="79"/>
      <c r="N20" s="79"/>
      <c r="O20" s="57"/>
      <c r="P20" s="80"/>
      <c r="Q20" s="80"/>
      <c r="R20" s="80"/>
      <c r="S20" s="80"/>
      <c r="T20" s="80"/>
      <c r="U20" s="80"/>
      <c r="V20" s="60"/>
      <c r="W20" s="60"/>
      <c r="X20" s="60"/>
      <c r="Y20" s="60"/>
      <c r="Z20" s="60"/>
      <c r="AA20" s="60"/>
      <c r="AB20" s="60"/>
      <c r="AC20" s="60"/>
      <c r="AD20" s="60"/>
      <c r="AE20" s="59"/>
      <c r="AF20" s="32" t="s">
        <v>12</v>
      </c>
      <c r="AG20" s="20"/>
    </row>
    <row r="21" spans="1:33" ht="12.75">
      <c r="A21" s="236" t="s">
        <v>135</v>
      </c>
      <c r="B21" s="231"/>
      <c r="C21" s="231"/>
      <c r="D21" s="231"/>
      <c r="E21" s="231"/>
      <c r="F21" s="57">
        <f>SUM(F18*0.25)</f>
        <v>3451.875</v>
      </c>
      <c r="G21" s="57">
        <f>SUM(G18*0.25)</f>
        <v>3591.13125</v>
      </c>
      <c r="H21" s="57">
        <f aca="true" t="shared" si="19" ref="H21:AD21">SUM(H18*0.25)</f>
        <v>3771.9163125000005</v>
      </c>
      <c r="I21" s="57">
        <f t="shared" si="19"/>
        <v>3961.838908125</v>
      </c>
      <c r="J21" s="57">
        <f t="shared" si="19"/>
        <v>4161.36279313125</v>
      </c>
      <c r="K21" s="57">
        <f t="shared" si="19"/>
        <v>4370.975363675813</v>
      </c>
      <c r="L21" s="57">
        <f t="shared" si="19"/>
        <v>4591.188866509365</v>
      </c>
      <c r="M21" s="57">
        <f t="shared" si="19"/>
        <v>4822.541671988396</v>
      </c>
      <c r="N21" s="57">
        <f t="shared" si="19"/>
        <v>5065.599612632408</v>
      </c>
      <c r="O21" s="57">
        <f t="shared" si="19"/>
        <v>5320.957390619578</v>
      </c>
      <c r="P21" s="57">
        <f t="shared" si="19"/>
        <v>5589.240057791258</v>
      </c>
      <c r="Q21" s="57">
        <f t="shared" si="19"/>
        <v>5871.104571921531</v>
      </c>
      <c r="R21" s="57">
        <f t="shared" si="19"/>
        <v>6167.241433203991</v>
      </c>
      <c r="S21" s="57">
        <f t="shared" si="19"/>
        <v>6478.376405113837</v>
      </c>
      <c r="T21" s="57">
        <f t="shared" si="19"/>
        <v>6805.272324020319</v>
      </c>
      <c r="U21" s="57">
        <f t="shared" si="19"/>
        <v>7148.731002152783</v>
      </c>
      <c r="V21" s="57">
        <f t="shared" si="19"/>
        <v>7509.595228763832</v>
      </c>
      <c r="W21" s="57">
        <f t="shared" si="19"/>
        <v>7888.750874585952</v>
      </c>
      <c r="X21" s="57">
        <f t="shared" si="19"/>
        <v>8287.129104944148</v>
      </c>
      <c r="Y21" s="57">
        <f t="shared" si="19"/>
        <v>8705.708707167194</v>
      </c>
      <c r="Z21" s="57">
        <f t="shared" si="19"/>
        <v>9145.518538235121</v>
      </c>
      <c r="AA21" s="57">
        <f t="shared" si="19"/>
        <v>9607.640098910797</v>
      </c>
      <c r="AB21" s="57">
        <f t="shared" si="19"/>
        <v>10093.210240930346</v>
      </c>
      <c r="AC21" s="57">
        <f t="shared" si="19"/>
        <v>10603.424014170938</v>
      </c>
      <c r="AD21" s="57">
        <f t="shared" si="19"/>
        <v>11139.537661076658</v>
      </c>
      <c r="AE21" s="59">
        <f>SUM(F21:AD21)</f>
        <v>164149.86743217055</v>
      </c>
      <c r="AF21" s="33" t="s">
        <v>108</v>
      </c>
      <c r="AG21" s="20"/>
    </row>
    <row r="22" spans="1:33" ht="12.75">
      <c r="A22" s="3" t="s">
        <v>15</v>
      </c>
      <c r="D22" s="135"/>
      <c r="E22" s="74"/>
      <c r="F22" s="57">
        <f>SUM(F18*0.03)</f>
        <v>414.22499999999997</v>
      </c>
      <c r="G22" s="57">
        <f>SUM(G18*0.03)</f>
        <v>430.93575</v>
      </c>
      <c r="H22" s="57">
        <f aca="true" t="shared" si="20" ref="H22:AD22">SUM(H18*0.03)</f>
        <v>452.62995750000005</v>
      </c>
      <c r="I22" s="57">
        <f t="shared" si="20"/>
        <v>475.420668975</v>
      </c>
      <c r="J22" s="57">
        <f t="shared" si="20"/>
        <v>499.36353517575003</v>
      </c>
      <c r="K22" s="57">
        <f t="shared" si="20"/>
        <v>524.5170436410975</v>
      </c>
      <c r="L22" s="57">
        <f t="shared" si="20"/>
        <v>550.9426639811237</v>
      </c>
      <c r="M22" s="57">
        <f t="shared" si="20"/>
        <v>578.7050006386075</v>
      </c>
      <c r="N22" s="57">
        <f t="shared" si="20"/>
        <v>607.8719535158889</v>
      </c>
      <c r="O22" s="57">
        <f t="shared" si="20"/>
        <v>638.5148868743494</v>
      </c>
      <c r="P22" s="57">
        <f t="shared" si="20"/>
        <v>670.7088069349509</v>
      </c>
      <c r="Q22" s="57">
        <f t="shared" si="20"/>
        <v>704.5325486305836</v>
      </c>
      <c r="R22" s="57">
        <f t="shared" si="20"/>
        <v>740.0689719844788</v>
      </c>
      <c r="S22" s="57">
        <f t="shared" si="20"/>
        <v>777.4051686136604</v>
      </c>
      <c r="T22" s="57">
        <f t="shared" si="20"/>
        <v>816.6326788824382</v>
      </c>
      <c r="U22" s="57">
        <f t="shared" si="20"/>
        <v>857.8477202583339</v>
      </c>
      <c r="V22" s="57">
        <f t="shared" si="20"/>
        <v>901.1514274516599</v>
      </c>
      <c r="W22" s="57">
        <f t="shared" si="20"/>
        <v>946.6501049503142</v>
      </c>
      <c r="X22" s="57">
        <f t="shared" si="20"/>
        <v>994.4554925932977</v>
      </c>
      <c r="Y22" s="57">
        <f t="shared" si="20"/>
        <v>1044.6850448600633</v>
      </c>
      <c r="Z22" s="57">
        <f t="shared" si="20"/>
        <v>1097.4622245882144</v>
      </c>
      <c r="AA22" s="57">
        <f t="shared" si="20"/>
        <v>1152.9168118692955</v>
      </c>
      <c r="AB22" s="57">
        <f t="shared" si="20"/>
        <v>1211.1852289116414</v>
      </c>
      <c r="AC22" s="57">
        <f t="shared" si="20"/>
        <v>1272.4108817005124</v>
      </c>
      <c r="AD22" s="57">
        <f t="shared" si="20"/>
        <v>1336.744519329199</v>
      </c>
      <c r="AE22" s="59">
        <f>SUM(F22:AD22)</f>
        <v>19697.98409186046</v>
      </c>
      <c r="AF22" s="33" t="s">
        <v>14</v>
      </c>
      <c r="AG22" s="20"/>
    </row>
    <row r="23" spans="1:33" ht="12.75">
      <c r="A23" s="3" t="s">
        <v>52</v>
      </c>
      <c r="D23" s="135" t="s">
        <v>13</v>
      </c>
      <c r="E23" s="75">
        <v>0</v>
      </c>
      <c r="F23" s="117">
        <f>SUM(F18*0.04)</f>
        <v>552.3000000000001</v>
      </c>
      <c r="G23" s="117">
        <f>SUM(G18*0.04)</f>
        <v>574.581</v>
      </c>
      <c r="H23" s="117">
        <f aca="true" t="shared" si="21" ref="H23:AD23">SUM(H18*0.04)</f>
        <v>603.5066100000001</v>
      </c>
      <c r="I23" s="117">
        <f t="shared" si="21"/>
        <v>633.8942253</v>
      </c>
      <c r="J23" s="117">
        <f t="shared" si="21"/>
        <v>665.8180469010001</v>
      </c>
      <c r="K23" s="117">
        <f t="shared" si="21"/>
        <v>699.3560581881301</v>
      </c>
      <c r="L23" s="117">
        <f t="shared" si="21"/>
        <v>734.5902186414984</v>
      </c>
      <c r="M23" s="117">
        <f t="shared" si="21"/>
        <v>771.6066675181434</v>
      </c>
      <c r="N23" s="117">
        <f t="shared" si="21"/>
        <v>810.4959380211853</v>
      </c>
      <c r="O23" s="117">
        <f t="shared" si="21"/>
        <v>851.3531824991326</v>
      </c>
      <c r="P23" s="117">
        <f t="shared" si="21"/>
        <v>894.2784092466012</v>
      </c>
      <c r="Q23" s="117">
        <f t="shared" si="21"/>
        <v>939.3767315074449</v>
      </c>
      <c r="R23" s="117">
        <f t="shared" si="21"/>
        <v>986.7586293126385</v>
      </c>
      <c r="S23" s="117">
        <f t="shared" si="21"/>
        <v>1036.540224818214</v>
      </c>
      <c r="T23" s="117">
        <f t="shared" si="21"/>
        <v>1088.843571843251</v>
      </c>
      <c r="U23" s="117">
        <f t="shared" si="21"/>
        <v>1143.7969603444453</v>
      </c>
      <c r="V23" s="117">
        <f t="shared" si="21"/>
        <v>1201.5352366022132</v>
      </c>
      <c r="W23" s="117">
        <f t="shared" si="21"/>
        <v>1262.2001399337523</v>
      </c>
      <c r="X23" s="117">
        <f t="shared" si="21"/>
        <v>1325.9406567910637</v>
      </c>
      <c r="Y23" s="117">
        <f t="shared" si="21"/>
        <v>1392.913393146751</v>
      </c>
      <c r="Z23" s="117">
        <f t="shared" si="21"/>
        <v>1463.2829661176195</v>
      </c>
      <c r="AA23" s="117">
        <f t="shared" si="21"/>
        <v>1537.2224158257275</v>
      </c>
      <c r="AB23" s="117">
        <f t="shared" si="21"/>
        <v>1614.9136385488555</v>
      </c>
      <c r="AC23" s="117">
        <f t="shared" si="21"/>
        <v>1696.54784226735</v>
      </c>
      <c r="AD23" s="117">
        <f t="shared" si="21"/>
        <v>1782.3260257722652</v>
      </c>
      <c r="AE23" s="59">
        <f>SUM(F23:AD23)</f>
        <v>26263.97878914728</v>
      </c>
      <c r="AF23" s="33" t="s">
        <v>53</v>
      </c>
      <c r="AG23" s="20"/>
    </row>
    <row r="24" spans="2:33" s="42" customFormat="1" ht="13.5" thickBot="1">
      <c r="B24" s="45" t="s">
        <v>0</v>
      </c>
      <c r="D24" s="138"/>
      <c r="E24" s="76">
        <f>SUM(E21:E23)</f>
        <v>0</v>
      </c>
      <c r="F24" s="118">
        <f>SUM(F21:F23)</f>
        <v>4418.4</v>
      </c>
      <c r="G24" s="118">
        <f aca="true" t="shared" si="22" ref="G24:M24">SUM(G21:G23)</f>
        <v>4596.648</v>
      </c>
      <c r="H24" s="118">
        <f t="shared" si="22"/>
        <v>4828.052880000001</v>
      </c>
      <c r="I24" s="118">
        <f t="shared" si="22"/>
        <v>5071.1538024</v>
      </c>
      <c r="J24" s="118">
        <f t="shared" si="22"/>
        <v>5326.544375208001</v>
      </c>
      <c r="K24" s="118">
        <f t="shared" si="22"/>
        <v>5594.848465505041</v>
      </c>
      <c r="L24" s="118">
        <f t="shared" si="22"/>
        <v>5876.721749131987</v>
      </c>
      <c r="M24" s="118">
        <f t="shared" si="22"/>
        <v>6172.853340145147</v>
      </c>
      <c r="N24" s="118">
        <f aca="true" t="shared" si="23" ref="N24:AD24">SUM(N21:N23)</f>
        <v>6483.967504169483</v>
      </c>
      <c r="O24" s="118">
        <f t="shared" si="23"/>
        <v>6810.82545999306</v>
      </c>
      <c r="P24" s="118">
        <f t="shared" si="23"/>
        <v>7154.22727397281</v>
      </c>
      <c r="Q24" s="118">
        <f t="shared" si="23"/>
        <v>7515.013852059559</v>
      </c>
      <c r="R24" s="118">
        <f t="shared" si="23"/>
        <v>7894.069034501108</v>
      </c>
      <c r="S24" s="118">
        <f t="shared" si="23"/>
        <v>8292.321798545712</v>
      </c>
      <c r="T24" s="118">
        <f t="shared" si="23"/>
        <v>8710.748574746009</v>
      </c>
      <c r="U24" s="118">
        <f t="shared" si="23"/>
        <v>9150.375682755563</v>
      </c>
      <c r="V24" s="118">
        <f t="shared" si="23"/>
        <v>9612.281892817704</v>
      </c>
      <c r="W24" s="118">
        <f t="shared" si="23"/>
        <v>10097.601119470019</v>
      </c>
      <c r="X24" s="118">
        <f t="shared" si="23"/>
        <v>10607.52525432851</v>
      </c>
      <c r="Y24" s="118">
        <f t="shared" si="23"/>
        <v>11143.307145174009</v>
      </c>
      <c r="Z24" s="118">
        <f t="shared" si="23"/>
        <v>11706.263728940956</v>
      </c>
      <c r="AA24" s="118">
        <f t="shared" si="23"/>
        <v>12297.77932660582</v>
      </c>
      <c r="AB24" s="118">
        <f t="shared" si="23"/>
        <v>12919.309108390844</v>
      </c>
      <c r="AC24" s="118">
        <f t="shared" si="23"/>
        <v>13572.3827381388</v>
      </c>
      <c r="AD24" s="118">
        <f t="shared" si="23"/>
        <v>14258.608206178122</v>
      </c>
      <c r="AE24" s="65">
        <f>SUM(F24:AD24)</f>
        <v>210111.83031317824</v>
      </c>
      <c r="AF24" s="43" t="s">
        <v>0</v>
      </c>
      <c r="AG24" s="44"/>
    </row>
    <row r="25" spans="1:33" s="42" customFormat="1" ht="24" customHeight="1" thickTop="1">
      <c r="A25" s="46" t="s">
        <v>122</v>
      </c>
      <c r="B25" s="41"/>
      <c r="D25" s="138"/>
      <c r="E25" s="77">
        <v>0</v>
      </c>
      <c r="F25" s="121">
        <f>+F18-F24</f>
        <v>9389.1</v>
      </c>
      <c r="G25" s="121">
        <f>+G18-G24</f>
        <v>9767.877</v>
      </c>
      <c r="H25" s="121">
        <f aca="true" t="shared" si="24" ref="H25:AD25">+H18-H24</f>
        <v>10259.61237</v>
      </c>
      <c r="I25" s="121">
        <f t="shared" si="24"/>
        <v>10776.2018301</v>
      </c>
      <c r="J25" s="121">
        <f t="shared" si="24"/>
        <v>11318.906797317</v>
      </c>
      <c r="K25" s="121">
        <f t="shared" si="24"/>
        <v>11889.052989198211</v>
      </c>
      <c r="L25" s="121">
        <f t="shared" si="24"/>
        <v>12488.033716905473</v>
      </c>
      <c r="M25" s="121">
        <f t="shared" si="24"/>
        <v>13117.313347808438</v>
      </c>
      <c r="N25" s="121">
        <f t="shared" si="24"/>
        <v>13778.43094636015</v>
      </c>
      <c r="O25" s="121">
        <f t="shared" si="24"/>
        <v>14473.004102485254</v>
      </c>
      <c r="P25" s="121">
        <f t="shared" si="24"/>
        <v>15202.73295719222</v>
      </c>
      <c r="Q25" s="121">
        <f t="shared" si="24"/>
        <v>15969.404435626564</v>
      </c>
      <c r="R25" s="121">
        <f t="shared" si="24"/>
        <v>16774.896698314857</v>
      </c>
      <c r="S25" s="121">
        <f t="shared" si="24"/>
        <v>17621.183821909635</v>
      </c>
      <c r="T25" s="121">
        <f t="shared" si="24"/>
        <v>18510.340721335266</v>
      </c>
      <c r="U25" s="121">
        <f t="shared" si="24"/>
        <v>19444.54832585557</v>
      </c>
      <c r="V25" s="121">
        <f t="shared" si="24"/>
        <v>20426.099022237624</v>
      </c>
      <c r="W25" s="121">
        <f t="shared" si="24"/>
        <v>21457.40237887379</v>
      </c>
      <c r="X25" s="121">
        <f t="shared" si="24"/>
        <v>22540.991165448082</v>
      </c>
      <c r="Y25" s="121">
        <f t="shared" si="24"/>
        <v>23679.527683494765</v>
      </c>
      <c r="Z25" s="121">
        <f t="shared" si="24"/>
        <v>24875.81042399953</v>
      </c>
      <c r="AA25" s="121">
        <f t="shared" si="24"/>
        <v>26132.781069037366</v>
      </c>
      <c r="AB25" s="121">
        <f t="shared" si="24"/>
        <v>27453.53185533054</v>
      </c>
      <c r="AC25" s="121">
        <f t="shared" si="24"/>
        <v>28841.31331854495</v>
      </c>
      <c r="AD25" s="121">
        <f t="shared" si="24"/>
        <v>30299.542438128512</v>
      </c>
      <c r="AE25" s="239">
        <f>SUM(F25:AD25)</f>
        <v>446487.63941550377</v>
      </c>
      <c r="AF25" s="43" t="s">
        <v>121</v>
      </c>
      <c r="AG25" s="44"/>
    </row>
    <row r="26" spans="1:30" ht="12.75">
      <c r="A26" s="3" t="s">
        <v>89</v>
      </c>
      <c r="F26" s="92">
        <f>+F25</f>
        <v>9389.1</v>
      </c>
      <c r="G26" s="93">
        <f aca="true" t="shared" si="25" ref="G26:AD26">+G25+F26</f>
        <v>19156.977</v>
      </c>
      <c r="H26" s="93">
        <f t="shared" si="25"/>
        <v>29416.58937</v>
      </c>
      <c r="I26" s="93">
        <f t="shared" si="25"/>
        <v>40192.7912001</v>
      </c>
      <c r="J26" s="93">
        <f t="shared" si="25"/>
        <v>51511.697997417</v>
      </c>
      <c r="K26" s="93">
        <f t="shared" si="25"/>
        <v>63400.75098661521</v>
      </c>
      <c r="L26" s="93">
        <f t="shared" si="25"/>
        <v>75888.78470352068</v>
      </c>
      <c r="M26" s="93">
        <f t="shared" si="25"/>
        <v>89006.09805132911</v>
      </c>
      <c r="N26" s="93">
        <f t="shared" si="25"/>
        <v>102784.52899768927</v>
      </c>
      <c r="O26" s="93">
        <f t="shared" si="25"/>
        <v>117257.53310017452</v>
      </c>
      <c r="P26" s="93">
        <f t="shared" si="25"/>
        <v>132460.26605736674</v>
      </c>
      <c r="Q26" s="93">
        <f t="shared" si="25"/>
        <v>148429.6704929933</v>
      </c>
      <c r="R26" s="93">
        <f t="shared" si="25"/>
        <v>165204.56719130813</v>
      </c>
      <c r="S26" s="93">
        <f t="shared" si="25"/>
        <v>182825.75101321776</v>
      </c>
      <c r="T26" s="93">
        <f t="shared" si="25"/>
        <v>201336.09173455302</v>
      </c>
      <c r="U26" s="93">
        <f t="shared" si="25"/>
        <v>220780.6400604086</v>
      </c>
      <c r="V26" s="93">
        <f t="shared" si="25"/>
        <v>241206.7390826462</v>
      </c>
      <c r="W26" s="93">
        <f t="shared" si="25"/>
        <v>262664.14146152</v>
      </c>
      <c r="X26" s="93">
        <f t="shared" si="25"/>
        <v>285205.1326269681</v>
      </c>
      <c r="Y26" s="93">
        <f t="shared" si="25"/>
        <v>308884.6603104629</v>
      </c>
      <c r="Z26" s="93">
        <f t="shared" si="25"/>
        <v>333760.4707344624</v>
      </c>
      <c r="AA26" s="93">
        <f t="shared" si="25"/>
        <v>359893.25180349976</v>
      </c>
      <c r="AB26" s="93">
        <f t="shared" si="25"/>
        <v>387346.78365883033</v>
      </c>
      <c r="AC26" s="93">
        <f t="shared" si="25"/>
        <v>416188.0969773753</v>
      </c>
      <c r="AD26" s="93">
        <f t="shared" si="25"/>
        <v>446487.63941550377</v>
      </c>
    </row>
    <row r="27" spans="1:33" ht="12.75">
      <c r="A27" s="3" t="s">
        <v>244</v>
      </c>
      <c r="B27" s="53">
        <v>88400</v>
      </c>
      <c r="C27" s="232" t="s">
        <v>239</v>
      </c>
      <c r="D27" s="231"/>
      <c r="E27" s="122"/>
      <c r="F27" s="123">
        <v>17.1</v>
      </c>
      <c r="G27" s="57"/>
      <c r="H27" s="58"/>
      <c r="I27" s="66"/>
      <c r="J27" s="79"/>
      <c r="K27" s="79"/>
      <c r="L27" s="79"/>
      <c r="M27" s="79"/>
      <c r="N27" s="79"/>
      <c r="O27" s="57"/>
      <c r="P27" s="80"/>
      <c r="Q27" s="80"/>
      <c r="R27" s="80"/>
      <c r="S27" s="80"/>
      <c r="T27" s="80"/>
      <c r="U27" s="80"/>
      <c r="V27" s="60"/>
      <c r="W27" s="60"/>
      <c r="X27" s="60"/>
      <c r="Y27" s="80"/>
      <c r="Z27" s="80"/>
      <c r="AA27" s="80"/>
      <c r="AB27" s="80"/>
      <c r="AC27" s="80"/>
      <c r="AD27" s="80"/>
      <c r="AE27" s="125">
        <f>SUM(AE25/B27)</f>
        <v>5.050765151759093</v>
      </c>
      <c r="AF27" s="126">
        <f>SUM(AE27/25)</f>
        <v>0.20203060607036372</v>
      </c>
      <c r="AG27" s="20" t="s">
        <v>143</v>
      </c>
    </row>
    <row r="28" spans="1:33" ht="12.75">
      <c r="A28" s="3" t="s">
        <v>165</v>
      </c>
      <c r="D28" s="135"/>
      <c r="E28" s="74"/>
      <c r="F28" s="238">
        <f>+Assumpt!$C$21*Assumpt!$C$20</f>
        <v>5304</v>
      </c>
      <c r="G28" s="238">
        <f>+Assumpt!$C$21*Assumpt!$C$20</f>
        <v>5304</v>
      </c>
      <c r="H28" s="238">
        <f>+Assumpt!$C$21*Assumpt!$C$20</f>
        <v>5304</v>
      </c>
      <c r="I28" s="238">
        <f>+Assumpt!$C$21*Assumpt!$C$20</f>
        <v>5304</v>
      </c>
      <c r="J28" s="238">
        <f>+Assumpt!$C$21*Assumpt!$C$20</f>
        <v>5304</v>
      </c>
      <c r="K28" s="238">
        <f>-PMT(Assumpt!$C$20,Assumpt!$C$22-Assumpt!$C$23,Assumpt!$C$21)</f>
        <v>6915.241889965017</v>
      </c>
      <c r="L28" s="238">
        <f>-PMT(Assumpt!$C$20,Assumpt!$C$22-Assumpt!$C$23,Assumpt!$C$21)</f>
        <v>6915.241889965017</v>
      </c>
      <c r="M28" s="238">
        <f>-PMT(Assumpt!$C$20,Assumpt!$C$22-Assumpt!$C$23,Assumpt!$C$21)</f>
        <v>6915.241889965017</v>
      </c>
      <c r="N28" s="238">
        <f>-PMT(Assumpt!$C$20,Assumpt!$C$22-Assumpt!$C$23,Assumpt!$C$21)</f>
        <v>6915.241889965017</v>
      </c>
      <c r="O28" s="238">
        <f>-PMT(Assumpt!$C$20,Assumpt!$C$22-Assumpt!$C$23,Assumpt!$C$21)</f>
        <v>6915.241889965017</v>
      </c>
      <c r="P28" s="238">
        <f>-PMT(Assumpt!$C$20,Assumpt!$C$22-Assumpt!$C$23,Assumpt!$C$21)</f>
        <v>6915.241889965017</v>
      </c>
      <c r="Q28" s="238">
        <f>-PMT(Assumpt!$C$20,Assumpt!$C$22-Assumpt!$C$23,Assumpt!$C$21)</f>
        <v>6915.241889965017</v>
      </c>
      <c r="R28" s="238">
        <f>-PMT(Assumpt!$C$20,Assumpt!$C$22-Assumpt!$C$23,Assumpt!$C$21)</f>
        <v>6915.241889965017</v>
      </c>
      <c r="S28" s="238">
        <f>-PMT(Assumpt!$C$20,Assumpt!$C$22-Assumpt!$C$23,Assumpt!$C$21)</f>
        <v>6915.241889965017</v>
      </c>
      <c r="T28" s="238">
        <f>-PMT(Assumpt!$C$20,Assumpt!$C$22-Assumpt!$C$23,Assumpt!$C$21)</f>
        <v>6915.241889965017</v>
      </c>
      <c r="U28" s="238">
        <f>-PMT(Assumpt!$C$20,Assumpt!$C$22-Assumpt!$C$23,Assumpt!$C$21)</f>
        <v>6915.241889965017</v>
      </c>
      <c r="V28" s="238">
        <f>-PMT(Assumpt!$C$20,Assumpt!$C$22-Assumpt!$C$23,Assumpt!$C$21)</f>
        <v>6915.241889965017</v>
      </c>
      <c r="W28" s="238">
        <f>-PMT(Assumpt!$C$20,Assumpt!$C$22-Assumpt!$C$23,Assumpt!$C$21)</f>
        <v>6915.241889965017</v>
      </c>
      <c r="X28" s="238">
        <f>-PMT(Assumpt!$C$20,Assumpt!$C$22-Assumpt!$C$23,Assumpt!$C$21)</f>
        <v>6915.241889965017</v>
      </c>
      <c r="Y28" s="238">
        <f>-PMT(Assumpt!$C$20,Assumpt!$C$22-Assumpt!$C$23,Assumpt!$C$21)</f>
        <v>6915.241889965017</v>
      </c>
      <c r="Z28" s="238">
        <f>-PMT(Assumpt!$C$20,Assumpt!$C$22-Assumpt!$C$23,Assumpt!$C$21)</f>
        <v>6915.241889965017</v>
      </c>
      <c r="AA28" s="238">
        <f>-PMT(Assumpt!$C$20,Assumpt!$C$22-Assumpt!$C$23,Assumpt!$C$21)</f>
        <v>6915.241889965017</v>
      </c>
      <c r="AB28" s="238">
        <f>-PMT(Assumpt!$C$20,Assumpt!$C$22-Assumpt!$C$23,Assumpt!$C$21)</f>
        <v>6915.241889965017</v>
      </c>
      <c r="AC28" s="238">
        <f>-PMT(Assumpt!$C$20,Assumpt!$C$22-Assumpt!$C$23,Assumpt!$C$21)</f>
        <v>6915.241889965017</v>
      </c>
      <c r="AD28" s="238">
        <f>-PMT(Assumpt!$C$20,Assumpt!$C$22-Assumpt!$C$23,Assumpt!$C$21)</f>
        <v>6915.241889965017</v>
      </c>
      <c r="AE28" s="127">
        <f>SUM(F28:AD28)</f>
        <v>164824.83779930038</v>
      </c>
      <c r="AF28" s="33" t="s">
        <v>243</v>
      </c>
      <c r="AG28" s="20"/>
    </row>
    <row r="29" spans="1:33" ht="12.75">
      <c r="A29" s="33" t="s">
        <v>241</v>
      </c>
      <c r="E29" s="78"/>
      <c r="F29" s="57">
        <f>SUM(F25-F28)</f>
        <v>4085.1000000000004</v>
      </c>
      <c r="G29" s="57">
        <f aca="true" t="shared" si="26" ref="G29:L29">SUM(G25-G28)</f>
        <v>4463.877</v>
      </c>
      <c r="H29" s="57">
        <f t="shared" si="26"/>
        <v>4955.612370000001</v>
      </c>
      <c r="I29" s="57">
        <f t="shared" si="26"/>
        <v>5472.201830100001</v>
      </c>
      <c r="J29" s="57">
        <f t="shared" si="26"/>
        <v>6014.906797317</v>
      </c>
      <c r="K29" s="57">
        <f t="shared" si="26"/>
        <v>4973.811099233194</v>
      </c>
      <c r="L29" s="57">
        <f t="shared" si="26"/>
        <v>5572.791826940455</v>
      </c>
      <c r="M29" s="57">
        <f>SUM(M25-M28)</f>
        <v>6202.071457843421</v>
      </c>
      <c r="N29" s="57">
        <f>SUM(N25-N28)</f>
        <v>6863.189056395132</v>
      </c>
      <c r="O29" s="57">
        <f>SUM(O25-O28)</f>
        <v>7557.762212520237</v>
      </c>
      <c r="P29" s="57">
        <f>SUM(P25-P28)</f>
        <v>8287.491067227202</v>
      </c>
      <c r="Q29" s="57">
        <f>SUM(Q25-Q28)</f>
        <v>9054.162545661547</v>
      </c>
      <c r="R29" s="57">
        <f>SUM(R25-R28)</f>
        <v>9859.654808349838</v>
      </c>
      <c r="S29" s="57">
        <f>SUM(S25-S28)</f>
        <v>10705.941931944617</v>
      </c>
      <c r="T29" s="57">
        <f>SUM(T25-T28)</f>
        <v>11595.098831370247</v>
      </c>
      <c r="U29" s="57">
        <f>SUM(U25-U28)</f>
        <v>12529.30643589055</v>
      </c>
      <c r="V29" s="57">
        <f>SUM(V25-V28)</f>
        <v>13510.857132272606</v>
      </c>
      <c r="W29" s="57">
        <f>SUM(W25-W28)</f>
        <v>14542.160488908772</v>
      </c>
      <c r="X29" s="57">
        <f>SUM(X25-Y28)</f>
        <v>15625.749275483064</v>
      </c>
      <c r="Y29" s="57">
        <f>SUM(Y25-Z28)</f>
        <v>16764.285793529747</v>
      </c>
      <c r="Z29" s="57">
        <f>SUM(Z25-AA28)</f>
        <v>17960.56853403451</v>
      </c>
      <c r="AA29" s="57">
        <f>SUM(AA25-AB28)</f>
        <v>19217.539179072348</v>
      </c>
      <c r="AB29" s="57">
        <f>SUM(AB25-AC28)</f>
        <v>20538.289965365522</v>
      </c>
      <c r="AC29" s="57">
        <f>SUM(AC25-AD28)</f>
        <v>21926.071428579933</v>
      </c>
      <c r="AD29" s="57">
        <f>SUM(AD25-AD28)</f>
        <v>23384.300548163494</v>
      </c>
      <c r="AE29" s="59">
        <f>SUM(AE25-AE28)</f>
        <v>281662.8016162034</v>
      </c>
      <c r="AF29" s="33" t="s">
        <v>242</v>
      </c>
      <c r="AG29" s="3"/>
    </row>
    <row r="30" spans="5:32" ht="12.75">
      <c r="E30" s="27"/>
      <c r="F30" s="49"/>
      <c r="H30" s="99"/>
      <c r="J30" s="100"/>
      <c r="K30" s="100"/>
      <c r="L30" s="100"/>
      <c r="M30" s="101"/>
      <c r="N30" s="102"/>
      <c r="O30" s="102"/>
      <c r="P30" s="103"/>
      <c r="Q30" s="103"/>
      <c r="R30" s="103"/>
      <c r="S30" s="103"/>
      <c r="T30" s="103"/>
      <c r="U30" s="103"/>
      <c r="V30" s="81"/>
      <c r="W30" s="81"/>
      <c r="X30" s="81"/>
      <c r="Y30" s="81"/>
      <c r="Z30" s="81"/>
      <c r="AA30" s="81"/>
      <c r="AB30" s="81"/>
      <c r="AC30" s="81"/>
      <c r="AD30" s="81"/>
      <c r="AE30" s="69"/>
      <c r="AF30" s="33"/>
    </row>
    <row r="31" spans="1:31" ht="12.75">
      <c r="A31" s="29"/>
      <c r="B31" s="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28"/>
    </row>
    <row r="32" spans="1:31" ht="12.75">
      <c r="A32" s="50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28"/>
    </row>
    <row r="33" spans="3:8" ht="12.75">
      <c r="C33" s="51"/>
      <c r="E33" s="53"/>
      <c r="G33" s="20"/>
      <c r="H33" s="20"/>
    </row>
    <row r="34" spans="3:8" ht="12.75">
      <c r="C34" s="54"/>
      <c r="E34" s="53"/>
      <c r="G34" s="20"/>
      <c r="H34" s="20"/>
    </row>
    <row r="35" spans="3:8" ht="12.75">
      <c r="C35" s="51"/>
      <c r="E35" s="53"/>
      <c r="G35" s="20"/>
      <c r="H35" s="20"/>
    </row>
    <row r="36" spans="3:8" ht="12.75">
      <c r="C36" s="51"/>
      <c r="E36" s="53"/>
      <c r="G36" s="20"/>
      <c r="H36" s="20"/>
    </row>
    <row r="37" spans="3:8" ht="12.75">
      <c r="C37" s="51"/>
      <c r="E37" s="53"/>
      <c r="G37" s="20"/>
      <c r="H37" s="20"/>
    </row>
    <row r="38" spans="3:23" ht="12.75">
      <c r="C38" s="51"/>
      <c r="E38" s="53"/>
      <c r="F38" s="24"/>
      <c r="G38" s="20"/>
      <c r="H38" s="20"/>
      <c r="N38" s="24"/>
      <c r="W38" s="104"/>
    </row>
    <row r="39" spans="5:31" ht="12.75">
      <c r="E39" s="55"/>
      <c r="G39" s="20"/>
      <c r="H39" s="20"/>
      <c r="W39" s="104"/>
      <c r="X39" s="104"/>
      <c r="Y39" s="104"/>
      <c r="Z39" s="104"/>
      <c r="AA39" s="104"/>
      <c r="AB39" s="104"/>
      <c r="AC39" s="104"/>
      <c r="AD39" s="104"/>
      <c r="AE39" s="2"/>
    </row>
    <row r="40" spans="3:31" ht="12.75">
      <c r="C40" s="51"/>
      <c r="E40" s="56"/>
      <c r="F40" s="26"/>
      <c r="G40" s="20"/>
      <c r="H40" s="20"/>
      <c r="X40" s="104"/>
      <c r="Y40" s="104"/>
      <c r="Z40" s="104"/>
      <c r="AA40" s="104"/>
      <c r="AB40" s="104"/>
      <c r="AC40" s="104"/>
      <c r="AD40" s="104"/>
      <c r="AE40" s="2"/>
    </row>
    <row r="41" spans="5:8" ht="12.75">
      <c r="E41" s="1"/>
      <c r="F41" s="25"/>
      <c r="G41" s="105"/>
      <c r="H41" s="105"/>
    </row>
    <row r="42" spans="5:17" ht="12.75">
      <c r="E42" s="1"/>
      <c r="F42" s="25"/>
      <c r="G42" s="105"/>
      <c r="H42" s="105"/>
      <c r="I42" s="25"/>
      <c r="P42" s="25"/>
      <c r="Q42" s="25"/>
    </row>
    <row r="43" spans="2:9" ht="12.75">
      <c r="B43" s="3" t="s">
        <v>1</v>
      </c>
      <c r="E43" s="4" t="s">
        <v>1</v>
      </c>
      <c r="F43" s="33" t="s">
        <v>1</v>
      </c>
      <c r="I43" s="25"/>
    </row>
    <row r="44" spans="2:17" ht="12.75">
      <c r="B44" s="3" t="s">
        <v>1</v>
      </c>
      <c r="C44" s="3" t="s">
        <v>1</v>
      </c>
      <c r="E44" s="4" t="s">
        <v>1</v>
      </c>
      <c r="F44" s="25"/>
      <c r="G44" s="105"/>
      <c r="H44" s="105"/>
      <c r="I44" s="25"/>
      <c r="J44" s="25"/>
      <c r="K44" s="25"/>
      <c r="L44" s="25"/>
      <c r="M44" s="25"/>
      <c r="N44" s="25"/>
      <c r="O44" s="25"/>
      <c r="P44" s="25"/>
      <c r="Q44" s="25"/>
    </row>
    <row r="45" spans="5:17" ht="12.75">
      <c r="E45" s="1"/>
      <c r="F45" s="25"/>
      <c r="G45" s="105"/>
      <c r="H45" s="105"/>
      <c r="I45" s="25"/>
      <c r="J45" s="25"/>
      <c r="K45" s="25"/>
      <c r="L45" s="25"/>
      <c r="M45" s="25"/>
      <c r="N45" s="25"/>
      <c r="O45" s="25"/>
      <c r="P45" s="25"/>
      <c r="Q45" s="25"/>
    </row>
    <row r="47" spans="6:13" ht="12.75">
      <c r="F47"/>
      <c r="G47"/>
      <c r="H47"/>
      <c r="I47"/>
      <c r="J47"/>
      <c r="K47"/>
      <c r="L47"/>
      <c r="M47"/>
    </row>
    <row r="48" spans="6:38" ht="12.75">
      <c r="F48"/>
      <c r="G48"/>
      <c r="H48"/>
      <c r="I48"/>
      <c r="J48"/>
      <c r="K48"/>
      <c r="L48"/>
      <c r="M48"/>
      <c r="AJ48" s="2"/>
      <c r="AK48" s="2"/>
      <c r="AL48" s="2"/>
    </row>
    <row r="49" spans="6:38" ht="12.75">
      <c r="F49"/>
      <c r="G49"/>
      <c r="H49"/>
      <c r="I49"/>
      <c r="J49"/>
      <c r="K49"/>
      <c r="L49"/>
      <c r="M49"/>
      <c r="AJ49" s="1"/>
      <c r="AK49" s="1"/>
      <c r="AL49" s="1"/>
    </row>
    <row r="50" spans="6:38" ht="12.75">
      <c r="F50"/>
      <c r="G50"/>
      <c r="H50"/>
      <c r="I50"/>
      <c r="J50"/>
      <c r="K50"/>
      <c r="L50"/>
      <c r="M50"/>
      <c r="AJ50" s="1"/>
      <c r="AK50" s="1"/>
      <c r="AL50" s="1"/>
    </row>
    <row r="51" spans="6:13" ht="12.75">
      <c r="F51"/>
      <c r="G51"/>
      <c r="H51"/>
      <c r="I51"/>
      <c r="J51"/>
      <c r="K51"/>
      <c r="L51"/>
      <c r="M51"/>
    </row>
    <row r="52" spans="6:13" ht="12.75">
      <c r="F52"/>
      <c r="G52"/>
      <c r="H52"/>
      <c r="I52"/>
      <c r="J52"/>
      <c r="K52"/>
      <c r="L52"/>
      <c r="M52"/>
    </row>
    <row r="53" spans="6:13" ht="12.75">
      <c r="F53"/>
      <c r="G53"/>
      <c r="H53"/>
      <c r="I53"/>
      <c r="J53"/>
      <c r="K53"/>
      <c r="L53"/>
      <c r="M53"/>
    </row>
    <row r="54" spans="6:13" ht="12.75">
      <c r="F54"/>
      <c r="G54"/>
      <c r="H54"/>
      <c r="I54"/>
      <c r="J54"/>
      <c r="K54"/>
      <c r="L54"/>
      <c r="M54"/>
    </row>
    <row r="55" spans="6:13" ht="12.75">
      <c r="F55"/>
      <c r="G55"/>
      <c r="H55"/>
      <c r="I55"/>
      <c r="J55"/>
      <c r="K55"/>
      <c r="L55"/>
      <c r="M55"/>
    </row>
    <row r="56" spans="6:13" ht="12.75">
      <c r="F56"/>
      <c r="G56"/>
      <c r="H56"/>
      <c r="I56"/>
      <c r="J56"/>
      <c r="K56"/>
      <c r="L56"/>
      <c r="M56"/>
    </row>
    <row r="57" spans="6:13" ht="12.75">
      <c r="F57"/>
      <c r="G57"/>
      <c r="H57"/>
      <c r="I57"/>
      <c r="J57"/>
      <c r="K57"/>
      <c r="L57"/>
      <c r="M57"/>
    </row>
    <row r="58" spans="6:32" ht="12.75">
      <c r="F58"/>
      <c r="G58"/>
      <c r="H58"/>
      <c r="I58"/>
      <c r="J58"/>
      <c r="K58"/>
      <c r="L58"/>
      <c r="M58"/>
      <c r="AF58" s="2"/>
    </row>
    <row r="59" spans="6:32" ht="12.75">
      <c r="F59"/>
      <c r="G59"/>
      <c r="H59"/>
      <c r="I59"/>
      <c r="J59"/>
      <c r="K59"/>
      <c r="L59"/>
      <c r="M59"/>
      <c r="Y59" s="104"/>
      <c r="Z59" s="104"/>
      <c r="AA59" s="104"/>
      <c r="AB59" s="104"/>
      <c r="AC59" s="104"/>
      <c r="AD59" s="104"/>
      <c r="AE59" s="2"/>
      <c r="AF59" s="1"/>
    </row>
    <row r="60" spans="6:32" ht="12.75">
      <c r="F60"/>
      <c r="G60"/>
      <c r="H60"/>
      <c r="I60"/>
      <c r="J60"/>
      <c r="K60"/>
      <c r="L60"/>
      <c r="M60"/>
      <c r="N60" s="35"/>
      <c r="O60" s="35"/>
      <c r="Q60" s="36"/>
      <c r="R60" s="34" t="s">
        <v>1</v>
      </c>
      <c r="Y60" s="25"/>
      <c r="Z60" s="25"/>
      <c r="AA60" s="25"/>
      <c r="AB60" s="25"/>
      <c r="AC60" s="25"/>
      <c r="AD60" s="25"/>
      <c r="AE60" s="1"/>
      <c r="AF60" s="1"/>
    </row>
    <row r="61" spans="6:32" ht="12.75">
      <c r="F61"/>
      <c r="G61"/>
      <c r="H61"/>
      <c r="I61"/>
      <c r="J61"/>
      <c r="K61"/>
      <c r="L61"/>
      <c r="M61"/>
      <c r="N61" s="35"/>
      <c r="O61" s="35"/>
      <c r="Q61" s="35"/>
      <c r="Y61" s="25"/>
      <c r="Z61" s="25"/>
      <c r="AA61" s="25"/>
      <c r="AB61" s="25"/>
      <c r="AC61" s="25"/>
      <c r="AD61" s="25"/>
      <c r="AE61" s="1"/>
      <c r="AF61" s="1"/>
    </row>
    <row r="62" spans="6:32" ht="12.75">
      <c r="F62"/>
      <c r="G62"/>
      <c r="H62"/>
      <c r="I62"/>
      <c r="J62"/>
      <c r="K62"/>
      <c r="L62"/>
      <c r="M62"/>
      <c r="N62" s="35"/>
      <c r="O62" s="35"/>
      <c r="R62" s="106" t="s">
        <v>1</v>
      </c>
      <c r="S62" s="107" t="s">
        <v>1</v>
      </c>
      <c r="Y62" s="25"/>
      <c r="Z62" s="25"/>
      <c r="AA62" s="25"/>
      <c r="AB62" s="25"/>
      <c r="AC62" s="25"/>
      <c r="AD62" s="25"/>
      <c r="AE62" s="1"/>
      <c r="AF62" s="1"/>
    </row>
    <row r="63" spans="6:33" ht="12.75">
      <c r="F63"/>
      <c r="G63"/>
      <c r="H63"/>
      <c r="I63"/>
      <c r="J63"/>
      <c r="K63"/>
      <c r="L63"/>
      <c r="M63"/>
      <c r="N63" s="35"/>
      <c r="O63" s="35"/>
      <c r="R63" s="106" t="s">
        <v>1</v>
      </c>
      <c r="Y63" s="25"/>
      <c r="Z63" s="25"/>
      <c r="AA63" s="25"/>
      <c r="AB63" s="25"/>
      <c r="AC63" s="25"/>
      <c r="AD63" s="25"/>
      <c r="AE63" s="1"/>
      <c r="AF63" s="1"/>
      <c r="AG63" s="2"/>
    </row>
    <row r="64" spans="6:34" ht="12.75">
      <c r="F64"/>
      <c r="G64"/>
      <c r="H64"/>
      <c r="I64"/>
      <c r="J64"/>
      <c r="K64"/>
      <c r="L64"/>
      <c r="M64"/>
      <c r="N64" s="35"/>
      <c r="O64" s="35"/>
      <c r="R64" s="106" t="s">
        <v>1</v>
      </c>
      <c r="Y64" s="25"/>
      <c r="Z64" s="25"/>
      <c r="AA64" s="25"/>
      <c r="AB64" s="25"/>
      <c r="AC64" s="25"/>
      <c r="AD64" s="25"/>
      <c r="AE64" s="1"/>
      <c r="AF64" s="1"/>
      <c r="AG64" s="1"/>
      <c r="AH64" s="2"/>
    </row>
    <row r="65" spans="6:34" ht="12.75">
      <c r="F65"/>
      <c r="G65"/>
      <c r="H65"/>
      <c r="I65"/>
      <c r="J65"/>
      <c r="K65"/>
      <c r="L65"/>
      <c r="M65"/>
      <c r="N65" s="35"/>
      <c r="O65" s="35"/>
      <c r="R65" s="35"/>
      <c r="Y65" s="25"/>
      <c r="Z65" s="25"/>
      <c r="AA65" s="25"/>
      <c r="AB65" s="25"/>
      <c r="AC65" s="25"/>
      <c r="AD65" s="25"/>
      <c r="AE65" s="1"/>
      <c r="AF65" s="1"/>
      <c r="AG65" s="1"/>
      <c r="AH65" s="1"/>
    </row>
    <row r="66" spans="6:34" ht="12.75">
      <c r="F66"/>
      <c r="G66"/>
      <c r="H66"/>
      <c r="I66"/>
      <c r="J66"/>
      <c r="K66"/>
      <c r="L66"/>
      <c r="M66"/>
      <c r="N66" s="35"/>
      <c r="O66" s="35"/>
      <c r="R66" s="35"/>
      <c r="Y66" s="25"/>
      <c r="Z66" s="25"/>
      <c r="AA66" s="25"/>
      <c r="AB66" s="25"/>
      <c r="AC66" s="25"/>
      <c r="AD66" s="25"/>
      <c r="AE66" s="1"/>
      <c r="AF66" s="1"/>
      <c r="AG66" s="1"/>
      <c r="AH66" s="1"/>
    </row>
    <row r="67" spans="6:34" ht="12.75">
      <c r="F67"/>
      <c r="G67"/>
      <c r="H67"/>
      <c r="I67"/>
      <c r="J67"/>
      <c r="K67"/>
      <c r="L67"/>
      <c r="M67"/>
      <c r="N67" s="35"/>
      <c r="O67" s="35"/>
      <c r="R67" s="35"/>
      <c r="Y67" s="25"/>
      <c r="Z67" s="25"/>
      <c r="AA67" s="25"/>
      <c r="AB67" s="25"/>
      <c r="AC67" s="25"/>
      <c r="AD67" s="25"/>
      <c r="AE67" s="1"/>
      <c r="AG67" s="1"/>
      <c r="AH67" s="1"/>
    </row>
    <row r="68" spans="6:34" ht="12.75">
      <c r="F68"/>
      <c r="G68"/>
      <c r="H68"/>
      <c r="I68"/>
      <c r="J68"/>
      <c r="K68"/>
      <c r="L68"/>
      <c r="M68"/>
      <c r="N68" s="35"/>
      <c r="O68" s="35"/>
      <c r="R68" s="35"/>
      <c r="AG68" s="1"/>
      <c r="AH68" s="1"/>
    </row>
    <row r="69" spans="6:34" ht="12.75">
      <c r="F69"/>
      <c r="G69"/>
      <c r="H69"/>
      <c r="I69"/>
      <c r="J69"/>
      <c r="K69"/>
      <c r="L69"/>
      <c r="M69"/>
      <c r="N69" s="35"/>
      <c r="O69" s="35"/>
      <c r="R69" s="35"/>
      <c r="AG69" s="1"/>
      <c r="AH69" s="1"/>
    </row>
    <row r="70" spans="6:34" ht="12.75">
      <c r="F70"/>
      <c r="G70"/>
      <c r="H70"/>
      <c r="I70"/>
      <c r="J70"/>
      <c r="K70"/>
      <c r="L70"/>
      <c r="M70"/>
      <c r="N70" s="35"/>
      <c r="O70" s="35"/>
      <c r="R70" s="35"/>
      <c r="AG70" s="1"/>
      <c r="AH70" s="1"/>
    </row>
    <row r="71" spans="6:34" ht="12.75">
      <c r="F71"/>
      <c r="G71"/>
      <c r="H71"/>
      <c r="I71"/>
      <c r="J71"/>
      <c r="K71"/>
      <c r="L71"/>
      <c r="M71"/>
      <c r="N71" s="35"/>
      <c r="O71" s="35"/>
      <c r="R71" s="35"/>
      <c r="AG71" s="1"/>
      <c r="AH71" s="1"/>
    </row>
    <row r="72" spans="6:34" ht="12.75">
      <c r="F72"/>
      <c r="G72"/>
      <c r="H72"/>
      <c r="I72"/>
      <c r="J72"/>
      <c r="K72"/>
      <c r="L72"/>
      <c r="M72"/>
      <c r="N72" s="35"/>
      <c r="O72" s="35"/>
      <c r="R72" s="35"/>
      <c r="AH72" s="1"/>
    </row>
    <row r="73" spans="6:18" ht="12.75">
      <c r="F73"/>
      <c r="G73"/>
      <c r="H73"/>
      <c r="I73"/>
      <c r="J73"/>
      <c r="K73"/>
      <c r="L73"/>
      <c r="M73"/>
      <c r="N73" s="35"/>
      <c r="O73" s="35"/>
      <c r="R73" s="35"/>
    </row>
    <row r="74" spans="6:18" ht="12.75">
      <c r="F74"/>
      <c r="G74"/>
      <c r="H74"/>
      <c r="I74"/>
      <c r="J74"/>
      <c r="K74"/>
      <c r="L74"/>
      <c r="M74"/>
      <c r="N74" s="35"/>
      <c r="O74" s="35"/>
      <c r="R74" s="35"/>
    </row>
    <row r="75" spans="2:18" ht="12.75">
      <c r="B75" s="4" t="s">
        <v>1</v>
      </c>
      <c r="C75" s="5"/>
      <c r="N75" s="35"/>
      <c r="O75" s="35"/>
      <c r="R75" s="35"/>
    </row>
    <row r="76" spans="2:18" ht="12.75">
      <c r="B76" s="3" t="s">
        <v>1</v>
      </c>
      <c r="C76" s="5"/>
      <c r="N76" s="35"/>
      <c r="O76" s="35"/>
      <c r="R76" s="35"/>
    </row>
    <row r="77" spans="14:18" ht="12.75">
      <c r="N77" s="35"/>
      <c r="O77" s="35"/>
      <c r="Q77" s="35"/>
      <c r="R77" s="35"/>
    </row>
    <row r="78" spans="2:3" ht="12.75">
      <c r="B78" s="3" t="s">
        <v>1</v>
      </c>
      <c r="C78" s="5"/>
    </row>
  </sheetData>
  <mergeCells count="5">
    <mergeCell ref="C27:D27"/>
    <mergeCell ref="AF3:AG3"/>
    <mergeCell ref="C11:E11"/>
    <mergeCell ref="A17:E17"/>
    <mergeCell ref="A21:E21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E31"/>
  <sheetViews>
    <sheetView workbookViewId="0" topLeftCell="A8">
      <selection activeCell="D21" sqref="D21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10.8515625" style="0" bestFit="1" customWidth="1"/>
    <col min="4" max="4" width="14.421875" style="53" customWidth="1"/>
    <col min="5" max="5" width="8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28125" style="0" customWidth="1"/>
    <col min="10" max="10" width="8.140625" style="0" customWidth="1"/>
  </cols>
  <sheetData>
    <row r="4" spans="2:3" ht="12.75">
      <c r="B4" s="6" t="s">
        <v>2</v>
      </c>
      <c r="C4" s="6" t="s">
        <v>3</v>
      </c>
    </row>
    <row r="5" spans="2:3" ht="12.75">
      <c r="B5" s="21" t="s">
        <v>83</v>
      </c>
      <c r="C5" s="22" t="s">
        <v>84</v>
      </c>
    </row>
    <row r="6" spans="2:3" ht="12.75">
      <c r="B6" s="8" t="s">
        <v>4</v>
      </c>
      <c r="C6" s="12">
        <v>4</v>
      </c>
    </row>
    <row r="7" spans="2:3" ht="12.75">
      <c r="B7" s="8" t="s">
        <v>115</v>
      </c>
      <c r="C7" s="13">
        <v>22000</v>
      </c>
    </row>
    <row r="8" spans="2:3" ht="12.75">
      <c r="B8" s="8" t="s">
        <v>79</v>
      </c>
      <c r="C8" s="13"/>
    </row>
    <row r="9" spans="1:4" ht="12.75">
      <c r="A9" t="s">
        <v>160</v>
      </c>
      <c r="B9" s="8" t="s">
        <v>81</v>
      </c>
      <c r="C9" s="87">
        <v>240</v>
      </c>
      <c r="D9" s="129"/>
    </row>
    <row r="10" spans="1:4" ht="12.75">
      <c r="A10" s="29" t="s">
        <v>159</v>
      </c>
      <c r="B10" s="11" t="s">
        <v>5</v>
      </c>
      <c r="C10" s="14"/>
      <c r="D10" s="133"/>
    </row>
    <row r="11" spans="2:3" ht="12.75">
      <c r="B11" s="8"/>
      <c r="C11" s="15"/>
    </row>
    <row r="12" spans="2:3" ht="12.75">
      <c r="B12" s="8" t="s">
        <v>119</v>
      </c>
      <c r="C12" s="17">
        <v>55</v>
      </c>
    </row>
    <row r="13" spans="2:3" ht="12.75">
      <c r="B13" s="8" t="s">
        <v>120</v>
      </c>
      <c r="C13" s="17">
        <v>3</v>
      </c>
    </row>
    <row r="14" spans="2:3" ht="12.75">
      <c r="B14" s="8" t="s">
        <v>6</v>
      </c>
      <c r="C14" s="18">
        <v>0.33</v>
      </c>
    </row>
    <row r="15" spans="2:3" ht="12.75">
      <c r="B15" s="8" t="s">
        <v>7</v>
      </c>
      <c r="C15" s="16">
        <v>2</v>
      </c>
    </row>
    <row r="16" spans="2:3" ht="12.75">
      <c r="B16" s="8" t="s">
        <v>116</v>
      </c>
      <c r="C16" s="86">
        <v>1</v>
      </c>
    </row>
    <row r="17" spans="2:3" ht="12.75">
      <c r="B17" s="8" t="s">
        <v>82</v>
      </c>
      <c r="C17" s="15">
        <v>0.25</v>
      </c>
    </row>
    <row r="18" spans="2:3" ht="12.75">
      <c r="B18" s="23" t="s">
        <v>80</v>
      </c>
      <c r="C18" s="18">
        <v>0.04</v>
      </c>
    </row>
    <row r="19" spans="2:5" ht="12.75">
      <c r="B19" s="10" t="s">
        <v>8</v>
      </c>
      <c r="C19" s="19">
        <v>0.18</v>
      </c>
      <c r="D19" s="134"/>
      <c r="E19" s="3"/>
    </row>
    <row r="20" spans="2:3" ht="12.75">
      <c r="B20" s="91" t="s">
        <v>85</v>
      </c>
      <c r="C20" s="40">
        <v>0.06</v>
      </c>
    </row>
    <row r="21" spans="2:3" ht="12.75">
      <c r="B21" s="91" t="s">
        <v>118</v>
      </c>
      <c r="C21" s="51">
        <v>88400</v>
      </c>
    </row>
    <row r="22" spans="2:3" ht="12.75">
      <c r="B22" s="91" t="s">
        <v>86</v>
      </c>
      <c r="C22">
        <v>25</v>
      </c>
    </row>
    <row r="23" spans="2:3" ht="12.75">
      <c r="B23" s="91" t="s">
        <v>87</v>
      </c>
      <c r="C23">
        <v>0</v>
      </c>
    </row>
    <row r="24" ht="12.75">
      <c r="B24" s="91" t="s">
        <v>90</v>
      </c>
    </row>
    <row r="25" spans="2:4" ht="12.75">
      <c r="B25" s="108" t="s">
        <v>117</v>
      </c>
      <c r="C25">
        <v>1</v>
      </c>
      <c r="D25" s="53" t="s">
        <v>91</v>
      </c>
    </row>
    <row r="26" spans="2:4" ht="12.75">
      <c r="B26" s="108" t="s">
        <v>92</v>
      </c>
      <c r="C26">
        <v>1</v>
      </c>
      <c r="D26" s="53" t="s">
        <v>91</v>
      </c>
    </row>
    <row r="27" spans="2:4" ht="12.75">
      <c r="B27" s="109" t="s">
        <v>47</v>
      </c>
      <c r="C27">
        <v>2</v>
      </c>
      <c r="D27" s="53" t="s">
        <v>93</v>
      </c>
    </row>
    <row r="28" spans="2:4" ht="12.75">
      <c r="B28" s="109" t="s">
        <v>48</v>
      </c>
      <c r="C28">
        <v>2</v>
      </c>
      <c r="D28" s="53" t="s">
        <v>93</v>
      </c>
    </row>
    <row r="29" spans="2:4" ht="12.75">
      <c r="B29" s="109" t="s">
        <v>44</v>
      </c>
      <c r="D29" s="53" t="s">
        <v>94</v>
      </c>
    </row>
    <row r="31" ht="12.75">
      <c r="B31" t="s"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0" sqref="F20"/>
    </sheetView>
  </sheetViews>
  <sheetFormatPr defaultColWidth="9.140625" defaultRowHeight="12.75"/>
  <cols>
    <col min="3" max="3" width="20.8515625" style="0" customWidth="1"/>
    <col min="4" max="4" width="14.421875" style="53" customWidth="1"/>
  </cols>
  <sheetData>
    <row r="1" spans="2:7" ht="17.25" customHeight="1">
      <c r="B1" s="237" t="s">
        <v>146</v>
      </c>
      <c r="C1" s="237"/>
      <c r="D1" s="237"/>
      <c r="E1" s="237"/>
      <c r="F1" s="237"/>
      <c r="G1" s="237"/>
    </row>
    <row r="2" spans="2:8" ht="12.75">
      <c r="B2" s="9" t="s">
        <v>155</v>
      </c>
      <c r="F2" s="70"/>
      <c r="G2" s="114">
        <v>1</v>
      </c>
      <c r="H2" t="s">
        <v>156</v>
      </c>
    </row>
    <row r="3" spans="2:7" ht="12.75">
      <c r="B3" t="s">
        <v>144</v>
      </c>
      <c r="D3" s="130" t="s">
        <v>145</v>
      </c>
      <c r="F3" s="70"/>
      <c r="G3" s="95">
        <f>SUM(12*1*300)</f>
        <v>3600</v>
      </c>
    </row>
    <row r="4" spans="2:7" ht="12.75">
      <c r="B4" s="115" t="s">
        <v>147</v>
      </c>
      <c r="D4" s="130" t="s">
        <v>109</v>
      </c>
      <c r="E4" s="20"/>
      <c r="F4" s="49"/>
      <c r="G4" s="95">
        <f>SUM(3*12*300/3)</f>
        <v>3600</v>
      </c>
    </row>
    <row r="5" spans="2:7" ht="12.75">
      <c r="B5" t="s">
        <v>148</v>
      </c>
      <c r="D5" s="130" t="s">
        <v>110</v>
      </c>
      <c r="F5" s="70"/>
      <c r="G5" s="96">
        <f>SUM(5*0.5*300)</f>
        <v>750</v>
      </c>
    </row>
    <row r="6" spans="2:7" ht="12.75">
      <c r="B6" t="s">
        <v>104</v>
      </c>
      <c r="D6" s="130" t="s">
        <v>111</v>
      </c>
      <c r="E6" s="20"/>
      <c r="F6" s="71"/>
      <c r="G6" s="95">
        <f>SUM(3*2*100)</f>
        <v>600</v>
      </c>
    </row>
    <row r="7" spans="2:7" ht="12.75">
      <c r="B7" t="s">
        <v>149</v>
      </c>
      <c r="D7" s="130" t="s">
        <v>112</v>
      </c>
      <c r="G7" s="97">
        <f>SUM(2*5*100)</f>
        <v>1000</v>
      </c>
    </row>
    <row r="8" spans="2:7" ht="12.75">
      <c r="B8" t="s">
        <v>151</v>
      </c>
      <c r="D8" s="235" t="s">
        <v>113</v>
      </c>
      <c r="E8" s="231"/>
      <c r="F8" s="231"/>
      <c r="G8" s="95">
        <f>SUM(1*3*300)</f>
        <v>900</v>
      </c>
    </row>
    <row r="9" spans="2:7" ht="12.75">
      <c r="B9" t="s">
        <v>150</v>
      </c>
      <c r="D9" s="131" t="s">
        <v>123</v>
      </c>
      <c r="E9" s="3"/>
      <c r="F9" s="73"/>
      <c r="G9" s="95">
        <f>SUM(2*3*300)</f>
        <v>1800</v>
      </c>
    </row>
    <row r="10" spans="1:7" ht="12.75">
      <c r="A10" s="29"/>
      <c r="B10" t="s">
        <v>152</v>
      </c>
      <c r="D10" s="132" t="s">
        <v>124</v>
      </c>
      <c r="E10" s="3"/>
      <c r="F10" s="73"/>
      <c r="G10" s="95">
        <f>SUM(1.5*3*300/3)</f>
        <v>450</v>
      </c>
    </row>
    <row r="11" spans="2:7" ht="12.75">
      <c r="B11" t="s">
        <v>44</v>
      </c>
      <c r="E11" s="3"/>
      <c r="F11" s="72"/>
      <c r="G11" s="95">
        <v>300</v>
      </c>
    </row>
    <row r="12" spans="2:7" ht="12.75">
      <c r="B12" t="s">
        <v>107</v>
      </c>
      <c r="D12" s="132" t="s">
        <v>114</v>
      </c>
      <c r="E12" s="3"/>
      <c r="F12" s="72"/>
      <c r="G12" s="95">
        <f>SUM(0.5*1*300)</f>
        <v>150</v>
      </c>
    </row>
    <row r="13" spans="2:7" ht="12.75">
      <c r="B13" t="s">
        <v>153</v>
      </c>
      <c r="E13" s="3"/>
      <c r="F13" s="72"/>
      <c r="G13" s="95">
        <f>SUM(G3:G12)</f>
        <v>13150</v>
      </c>
    </row>
    <row r="14" spans="2:7" ht="12.75">
      <c r="B14" s="231" t="s">
        <v>154</v>
      </c>
      <c r="C14" s="231"/>
      <c r="D14" s="231"/>
      <c r="E14" s="231"/>
      <c r="F14" s="231"/>
      <c r="G14" s="98">
        <f>SUM(G13*0.05)</f>
        <v>657.5</v>
      </c>
    </row>
    <row r="15" spans="2:8" ht="12.75">
      <c r="B15" s="29" t="s">
        <v>157</v>
      </c>
      <c r="E15" s="3"/>
      <c r="F15" s="72"/>
      <c r="G15" s="128">
        <f>SUM(G13:G14)</f>
        <v>13807.5</v>
      </c>
      <c r="H15" t="s">
        <v>158</v>
      </c>
    </row>
    <row r="18" spans="2:4" ht="12.75">
      <c r="B18" t="s">
        <v>161</v>
      </c>
      <c r="D18" s="51">
        <v>23000</v>
      </c>
    </row>
  </sheetData>
  <mergeCells count="3">
    <mergeCell ref="D8:F8"/>
    <mergeCell ref="B14:F14"/>
    <mergeCell ref="B1:G1"/>
  </mergeCells>
  <printOptions/>
  <pageMargins left="0.75" right="0.75" top="1" bottom="1" header="0.5" footer="0.5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3" sqref="D13"/>
    </sheetView>
  </sheetViews>
  <sheetFormatPr defaultColWidth="9.140625" defaultRowHeight="12.75"/>
  <cols>
    <col min="4" max="4" width="14.421875" style="53" customWidth="1"/>
  </cols>
  <sheetData>
    <row r="1" ht="23.25" customHeight="1">
      <c r="A1" s="124" t="s">
        <v>136</v>
      </c>
    </row>
    <row r="2" ht="12" customHeight="1"/>
    <row r="3" spans="1:4" ht="12.75">
      <c r="A3" t="s">
        <v>139</v>
      </c>
      <c r="D3" s="53">
        <v>10000000</v>
      </c>
    </row>
    <row r="4" spans="1:4" ht="12.75">
      <c r="A4" t="s">
        <v>138</v>
      </c>
      <c r="D4" s="53">
        <v>5000000</v>
      </c>
    </row>
    <row r="5" spans="1:4" ht="12.75">
      <c r="A5" t="s">
        <v>137</v>
      </c>
      <c r="D5" s="53">
        <v>58000000</v>
      </c>
    </row>
    <row r="6" spans="1:4" ht="12.75">
      <c r="A6" t="s">
        <v>140</v>
      </c>
      <c r="D6" s="53">
        <v>10000000</v>
      </c>
    </row>
    <row r="7" spans="1:4" ht="12.75">
      <c r="A7" t="s">
        <v>141</v>
      </c>
      <c r="D7" s="53">
        <v>5000000</v>
      </c>
    </row>
    <row r="8" spans="1:4" ht="12.75">
      <c r="A8" t="s">
        <v>142</v>
      </c>
      <c r="D8" s="53">
        <v>6000000</v>
      </c>
    </row>
    <row r="9" spans="1:4" ht="12.75">
      <c r="A9" t="s">
        <v>160</v>
      </c>
      <c r="D9" s="129">
        <f>SUM(D3:D8)*0.1</f>
        <v>9400000</v>
      </c>
    </row>
    <row r="10" spans="1:4" ht="12.75">
      <c r="A10" s="29" t="s">
        <v>159</v>
      </c>
      <c r="D10" s="84">
        <f>SUM(D3:D9)</f>
        <v>103400000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2003-11-24T17:16:49Z</cp:lastPrinted>
  <dcterms:created xsi:type="dcterms:W3CDTF">1999-06-13T22:59:13Z</dcterms:created>
  <dcterms:modified xsi:type="dcterms:W3CDTF">2003-11-29T20:13:29Z</dcterms:modified>
  <cp:category/>
  <cp:version/>
  <cp:contentType/>
  <cp:contentStatus/>
</cp:coreProperties>
</file>